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225" windowWidth="14805" windowHeight="7890"/>
  </bookViews>
  <sheets>
    <sheet name="Antagelser" sheetId="13" r:id="rId1"/>
    <sheet name="20K UBI med afledte effekter" sheetId="10" r:id="rId2"/>
    <sheet name="Eksportstigning" sheetId="15" r:id="rId3"/>
    <sheet name="Overbliksudregning" sheetId="16" r:id="rId4"/>
  </sheets>
  <calcPr calcId="101716"/>
</workbook>
</file>

<file path=xl/calcChain.xml><?xml version="1.0" encoding="utf-8"?>
<calcChain xmlns="http://schemas.openxmlformats.org/spreadsheetml/2006/main">
  <c r="A7" i="16"/>
  <c r="B7"/>
  <c r="C7"/>
  <c r="D7"/>
  <c r="A8"/>
  <c r="B8"/>
  <c r="C8"/>
  <c r="D8"/>
  <c r="A9"/>
  <c r="B9"/>
  <c r="C9"/>
  <c r="D9"/>
  <c r="A10"/>
  <c r="B10"/>
  <c r="C10"/>
  <c r="D10"/>
  <c r="A11"/>
  <c r="B11"/>
  <c r="C11"/>
  <c r="D11"/>
  <c r="B12"/>
  <c r="C12"/>
  <c r="D12"/>
  <c r="A13"/>
  <c r="B13"/>
  <c r="D13"/>
  <c r="B14"/>
  <c r="D14"/>
  <c r="A17"/>
  <c r="B17"/>
  <c r="C17"/>
  <c r="D17"/>
  <c r="A18"/>
  <c r="B18"/>
  <c r="D18"/>
  <c r="A19"/>
  <c r="B19"/>
  <c r="D19"/>
  <c r="B20"/>
  <c r="C20"/>
  <c r="D20"/>
  <c r="A23"/>
  <c r="B23"/>
  <c r="C23"/>
  <c r="D23"/>
  <c r="A24"/>
  <c r="B24"/>
  <c r="C24"/>
  <c r="D24"/>
  <c r="A25"/>
  <c r="B18" i="15"/>
  <c r="B19"/>
  <c r="B21"/>
  <c r="B28" i="10"/>
  <c r="B25" i="16"/>
  <c r="D25"/>
  <c r="B26"/>
  <c r="C26"/>
  <c r="D26"/>
  <c r="A29"/>
  <c r="B29"/>
  <c r="D29"/>
  <c r="A30"/>
  <c r="B30"/>
  <c r="D30"/>
  <c r="B31"/>
  <c r="C31"/>
  <c r="D31"/>
  <c r="D33"/>
  <c r="B36"/>
  <c r="B37"/>
  <c r="B38"/>
  <c r="A41"/>
  <c r="B41"/>
  <c r="C41"/>
  <c r="A42"/>
  <c r="B42"/>
  <c r="B43"/>
  <c r="B47"/>
  <c r="B48"/>
  <c r="C51"/>
  <c r="B52"/>
  <c r="C52"/>
  <c r="C53"/>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D101"/>
  <c r="E101"/>
  <c r="F101"/>
  <c r="D102"/>
  <c r="E102"/>
  <c r="F102"/>
  <c r="D103"/>
  <c r="E103"/>
  <c r="F103"/>
  <c r="D104"/>
  <c r="E104"/>
  <c r="F104"/>
  <c r="D105"/>
  <c r="E105"/>
  <c r="F105"/>
  <c r="C106"/>
  <c r="D106"/>
  <c r="E106"/>
  <c r="F106"/>
  <c r="D107"/>
  <c r="B11" i="15"/>
  <c r="B12"/>
  <c r="B20"/>
  <c r="B5" i="10"/>
  <c r="A8"/>
  <c r="B8"/>
  <c r="D9"/>
  <c r="B10"/>
  <c r="B12"/>
  <c r="B14"/>
  <c r="B16"/>
  <c r="B18"/>
  <c r="B19"/>
  <c r="B20"/>
  <c r="B21"/>
  <c r="B22"/>
  <c r="B23"/>
  <c r="B24"/>
  <c r="B25"/>
  <c r="B26"/>
  <c r="B27"/>
  <c r="B29"/>
  <c r="B30"/>
  <c r="G33"/>
  <c r="B34"/>
  <c r="D34"/>
  <c r="G35"/>
  <c r="B36"/>
  <c r="D36"/>
  <c r="B37"/>
  <c r="B39"/>
  <c r="K39"/>
  <c r="B49"/>
  <c r="B50"/>
  <c r="B53"/>
  <c r="B54"/>
  <c r="B55"/>
  <c r="B62"/>
  <c r="B63"/>
  <c r="B64"/>
  <c r="B68"/>
  <c r="B69"/>
  <c r="B70"/>
</calcChain>
</file>

<file path=xl/sharedStrings.xml><?xml version="1.0" encoding="utf-8"?>
<sst xmlns="http://schemas.openxmlformats.org/spreadsheetml/2006/main" count="203" uniqueCount="174">
  <si>
    <t>Finansiering</t>
  </si>
  <si>
    <t>borgere</t>
  </si>
  <si>
    <t>DKK/måned</t>
  </si>
  <si>
    <t>Total omkostning per år</t>
  </si>
  <si>
    <t>DKK/år</t>
  </si>
  <si>
    <t>Beskæftigelsesministeriet, stort set alt</t>
  </si>
  <si>
    <t>Børne- og ungeydelser</t>
  </si>
  <si>
    <t>X</t>
  </si>
  <si>
    <t>Pensionsvæsenet, stort set alt</t>
  </si>
  <si>
    <t>SU mm. uddannelsesstøtte</t>
  </si>
  <si>
    <t/>
  </si>
  <si>
    <t>Antal medarbejdere</t>
  </si>
  <si>
    <t>Gennemsnitlig besparelse per år</t>
  </si>
  <si>
    <t>DKK per person / måned.</t>
  </si>
  <si>
    <t>Sociale pensioner mm. (UBI er højere end enhver pension hvis over 18000 kr.)</t>
  </si>
  <si>
    <t>http://www.aeldresagen.dk/faa-raad-og-stoette/vaerdatvide/social_pension/faelles_bestemmelser_for_social_pension/broekpension/broekpension/sider/default.aspx</t>
  </si>
  <si>
    <t xml:space="preserve">Brøkpension er her godt forklaret af ældresagen: </t>
  </si>
  <si>
    <t>En høj UBI kan tildeles i Danmark, uden at belastes uforholdsmæssigt meget af EU-borgere ved brug af reglerne for brøkpension.</t>
  </si>
  <si>
    <t>Den højest mulige finansierbare UBI til flest mulige er at foretrække - den giver størst feksibilitet og råderum til borgerne, samt mindst ulighed og diskussion om fordeling.</t>
  </si>
  <si>
    <t xml:space="preserve">En høj UBI (&gt;15000 DKK/måned) kan lade sig gøre i Danmark grundet den enorme velfærdsstat, samt at over 60% af borgerne allerede er lønnet af staten med relativt høje lønninger. </t>
  </si>
  <si>
    <t xml:space="preserve">Kilde: </t>
  </si>
  <si>
    <t>Der tages for nemheds skyld udgangspunkt i det eksisterende skattesystem - dette er ikke nødvendigvis meningsfuldt i et system med høj UBI og kan på mange måder kaldes fejlimplementeret allerede i dag. Men det er nu engang det udgangspunkt de fleste kan forholde sig til, og derfor brugt her for at vise at det ikke nødvendigvis har sammenhæng med UBI'en.</t>
  </si>
  <si>
    <t>Ændring af indirekte skatter m. X%</t>
  </si>
  <si>
    <t>Gen.snit indirekte skat opr.</t>
  </si>
  <si>
    <t>*</t>
  </si>
  <si>
    <t>Ændring af skatteprocenten inkl. bundfradraget m. X%</t>
  </si>
  <si>
    <t>http://www.skm.dk/skattetal/statistik/indkomstfordeling/gennemsnitsskatten-for-samtlige-skattepligtige-i-2013/</t>
  </si>
  <si>
    <t xml:space="preserve">Kilde med pædagogisk gennemgang: </t>
  </si>
  <si>
    <t>Direkte og indirekte skatter tabt på ikke-udbetalte pensionerne</t>
  </si>
  <si>
    <t>Direkte og indirekte skatter tabt på ikke-udbetalte lønninger mm. (skal korrigeres hvor moms ikke er relevant)</t>
  </si>
  <si>
    <t>Direkte og indirekte skatter tabt på ikke-udbetalt uddannelsesstøtte</t>
  </si>
  <si>
    <t>Direkte og indirekte skatter tabt på ikke-udbetalt børne- og ungeydelser</t>
  </si>
  <si>
    <t>Total indtægt per år</t>
  </si>
  <si>
    <t>Difference mellem omkostning og finansiering i UBIs favør, per år</t>
  </si>
  <si>
    <t>Der er i ovenstående ikke medregnet alle afledte effekter, men de har stort set enhver forskning i UBI vist sig samlet set at være positive. Der kan således også her forventes yderligere besparelser på bl.a. sundheds-, uddannelses- og kriminalitetsområdet.</t>
  </si>
  <si>
    <t>https://decorrespondent.nl/541/why-we-should-give-free-money-to-everyone/5002791464-b5586356</t>
  </si>
  <si>
    <t>http://public.econ.duke.edu/~erw/197/forget-cea%20%282%29.pdf</t>
  </si>
  <si>
    <t>og</t>
  </si>
  <si>
    <t>http://www.dst.dk/da/Statistik/Publikationer/VisPub.aspx?cid=018680</t>
  </si>
  <si>
    <t>http://www.aeldresagen.dk/temaer/sider/pensionssatserne-for-2014.aspx</t>
  </si>
  <si>
    <t>http://www.regioner.dk/aktuelt/temaer/fakta+om+regionernes+effektivitet+og+%C3%B8konomi/kopi+af+fakta+om+sundhedsv%C3%A6senet</t>
  </si>
  <si>
    <t>http://sociology.uwo.ca/cluster/en/publications/docs/policy_briefs/PolicyBrief10.pdf</t>
  </si>
  <si>
    <t>http://www.statistikbanken.dk/statbank5a/selectvarval/define.asp?PLanguage=0&amp;subword=tabsel&amp;MainTable=FOLK1&amp;PXSId=170291&amp;tablestyle=&amp;ST=SD&amp;buttons=0</t>
  </si>
  <si>
    <t>http://www.regioner.dk/aktuelt/nyheder/2014/september/hver+anden+regional+krone+bruges+hos+private+leverand%C3%B8rer</t>
  </si>
  <si>
    <t>http://www.dst.dk/pukora/epub/upload/17958/arb.pdf - side 5</t>
  </si>
  <si>
    <t>Kilde:</t>
  </si>
  <si>
    <t>Gennemsnitlig besparelse per måned ved lønnedgang svarende til UBI (stort set ingen har en løn under UBI)</t>
  </si>
  <si>
    <t>Medarbejdere i det private erhvervsliv (stort set ingen har en løn under UBI) som ikke arbejder for det offentlige</t>
  </si>
  <si>
    <t>Antal medarbejdere (estimat)</t>
  </si>
  <si>
    <t>http://www.statistikbanken.dk/statbank5a/selectvarval/define.asp?PLanguage=0&amp;subword=tabsel&amp;MainTable=AKU100&amp;PXSId=152587&amp;tablestyle=&amp;ST=SD&amp;buttons=0</t>
  </si>
  <si>
    <t>Bemærk at dette stadig er en hastigt udført og overslagsmæssig, men dog nøje overvejet, skitseberegning af UBI - fejl og mangler er dermed absolut mulige, og kritik modtages gerne til soe@01ai.dk</t>
  </si>
  <si>
    <t>Behovet for UBI er, ud over den umiddelbart gavnlige samfundsmæssige effekt vist i over 60 års videnskabelige undersøgelser af UBI, også baseret på den teknologiske arbejdsløshed der indenfor få årtier vil kunne gøre det meste af menneskeheden arbejdsløs - og det bør ses som et fremskridt, ikke et problem, at alle kan forsøges uden nødvendigvis at skulle arbejde hårdt for det.</t>
  </si>
  <si>
    <t>http://ing.dk/artikel/730000-job-overtages-af-robotter-172125</t>
  </si>
  <si>
    <t>(Med min insiderviden fra automatiseringsindustrien er mit bud nærmere 1,5 mio. jobs tabt indenfor 15 år...)</t>
  </si>
  <si>
    <t>http://www.frivillighed.dk/Webnodes/FAQ+-+fakta,+tal+og+begreber/21087</t>
  </si>
  <si>
    <t>Nedgang i beskattet arbejde (13% - dette er formentligt lavere, se kilde 3) af 570 mia. kr. i 2013</t>
  </si>
  <si>
    <t>og kilde 2:</t>
  </si>
  <si>
    <t>Kilde 3:</t>
  </si>
  <si>
    <t>http://www.economonitor.com/dolanecon/2014/08/25/a-universal-basic-income-and-work-incentives-part-2-evidence/</t>
  </si>
  <si>
    <t xml:space="preserve">Her er to gode overordnede gennemgange af forskningen bag UBI og de dynamiske effekter deraf: </t>
  </si>
  <si>
    <t>http://www.information.dk/databloggen/480268</t>
  </si>
  <si>
    <t>*) Informations visualisering af indtægter og udgifter på finansloven 2014 - er kilde hvor intet andet er angivet:</t>
  </si>
  <si>
    <t>http://www.su.dk/SU/satserSU/ungdomsuddannelse/Sider/default.aspx</t>
  </si>
  <si>
    <t>http://www.min-a-kasse.dk/udbetalingssatser-2012</t>
  </si>
  <si>
    <t xml:space="preserve">*) Kontanthjælp kilde: </t>
  </si>
  <si>
    <t>*) Dagpengetal kilde (det er altså for 2014 uanset linkets titel!):</t>
  </si>
  <si>
    <t>http://bm.dk/da/Beskaeftigelsesomraadet/Ydelser/Kontanthjaelp/Hvor%20meget%20kan%20man%20faa%20i%20kontanthjaelp.aspx</t>
  </si>
  <si>
    <t xml:space="preserve">*) SU kilde: </t>
  </si>
  <si>
    <t xml:space="preserve">*) Alders- og førtidspension kilde: </t>
  </si>
  <si>
    <t>**) Offentlige besparelser ved lønnedgang svarende til UBI</t>
  </si>
  <si>
    <t>***) Besparelser på private leverancer til det offentlige ved lønnedgang svarende til UBI</t>
  </si>
  <si>
    <t>Besparelser på private lønbetonede leverancer til det offentlige***</t>
  </si>
  <si>
    <t>Besparelser på offentlige lønninger**</t>
  </si>
  <si>
    <t>BEMÆRK: Antaget dobling af frivilligt arbejde; 9,6% BNP = 134.500.000.000 kr. - se arket Antagelser</t>
  </si>
  <si>
    <t>http://politiken.dk/oekonomi/arbejdsmarked/ECE2446741/robotter-og-ny-teknik-truer-730000-jobs/</t>
  </si>
  <si>
    <t>730.000 ekstra der alligevel skal på overførselsindkomst indenfor 15 år</t>
  </si>
  <si>
    <t>Besparelse på hospitaler og psykiatri (8,5%) af 103 mia. kr. i 2013</t>
  </si>
  <si>
    <t>BEMÆRK: Den eneste udokumenterede antagelse er formodning om en fordobling af det frivillige arbejde, baseret på nedgangen i betalt arbejde (udgør ca. samme antal timer / % ændring, men kun ca. 1/4 af værdien). Der ses afhængigt af undersøgelserne og UBI formen en stor tilgang i frivilligt arbejde, men hvor stor afhænger meget af UBIens sammensætning - en meget høj UBI som her vil give stort tidsmæssigt og økonomisk overskud til frivilligt arbejde, som derfor også kan antages at øges voldsomt. DETTE ER DOG IKKE NØDVENDIGT FOR FINANSIERING.</t>
  </si>
  <si>
    <t>Tilvækst</t>
  </si>
  <si>
    <t>Deraf personskat</t>
  </si>
  <si>
    <t>Deraf indirekte skat</t>
  </si>
  <si>
    <t>Deraf firmaskat af overskud</t>
  </si>
  <si>
    <t>Stigningen skyldes primært lønninger, og produkter lavet primært på basis af lønninger, da UBI-lønnedgangen ikke vil have indflydelse på produkter der ikke baseres på løn.</t>
  </si>
  <si>
    <t xml:space="preserve">Stigningen i eksporten vil derfor også primært være i form af lønudbetalinger - bruges lønnedgangen primært til at give mere overskud i virksomhederne vil det ikke øge eksporten. </t>
  </si>
  <si>
    <t>Som en sikkerhedsfaktor regnes 60% af den ekstra eksport at være ekstra løn, med 40% forventet ekstra overskud i virksomheder - lønandelen bliver formentligt højere.</t>
  </si>
  <si>
    <t>Total ekstra skatteindtægt</t>
  </si>
  <si>
    <t>*) http://www.ucl.ac.uk/~uctpb21/Cpapers/jep_germany_competitiveness.pdf, side 10</t>
  </si>
  <si>
    <t>**) http://www.tradingeconomics.com/germany/exports</t>
  </si>
  <si>
    <t>Nuværende eksport (mia. DKK)</t>
  </si>
  <si>
    <t>Kommende eksport (mia. DKK)</t>
  </si>
  <si>
    <t>Lønningerne i Tyskland faldt 10-20% * og resulterede i en eksportstigning fra 2011 til 2015 fra ca. 80 mia. EUR/måned til ca. 95 mia. EUR/måned, en stigning på ca. 19%, hvor Danmark kun nåede tilbage til status quo efter krisen **</t>
  </si>
  <si>
    <t>Det ekstra overskud efter skat i virksomhederne vil desuden for en del blive sat i cirkulation i det danske samfund, og dermed øge indtægten ved konkurrencefordelen yderligere.</t>
  </si>
  <si>
    <t>Ved en reduktion i gennemsnitlige danske lønninger via UBI på mellem 80% og 40%, kan derfor forventes som en forøgelse på omkring 50% af eksporten over 5 år.</t>
  </si>
  <si>
    <t>UBI per borger, før skat (modellen er kun fuldt dynamisk ned til ca. 18000 kr. og op til 25.000 kr.)</t>
  </si>
  <si>
    <t>****) Værdi af konkurrencefordel ved sænkede lønninger</t>
  </si>
  <si>
    <t>Kilde: http://www.dst.dk/da/Statistik/emner/udenrigshandel/udenrigshandel-med-varer.aspx</t>
  </si>
  <si>
    <t>Se arket 'Eksportstigning'.</t>
  </si>
  <si>
    <t>Staten havde i 2013 et provenu på selskabsskat på</t>
  </si>
  <si>
    <t>http://www.skm.dk/media/1149435/skatteoekonomisk-analyse_selskabsskat_051214-opd2.pdf</t>
  </si>
  <si>
    <t>Regnet med 25% selskabsskat, giver det samlet overskud på 4x så meget</t>
  </si>
  <si>
    <t>Eksportstigning</t>
  </si>
  <si>
    <t>Værdi af konkurrencefordel ved sænkede lønninger og dermed øget eksport ****</t>
  </si>
  <si>
    <t>http://www.fsr.dk/~/media/Files/Presse%20og%20nyheder/Analyser/Analyser/2015/Analyse%20-%20Sundhedsanalyse%204%20%20kvartal%202014%20-%20v3.ashx</t>
  </si>
  <si>
    <t>Samlet besparelse på lønninger per år</t>
  </si>
  <si>
    <t>http://regioner.dk/Aktuelt/Temaer/Fakta+om+regionernes+effektivitet+og+%C3%B8konomi/Kopi+af+Fakta+om+sundhedsv%C3%A6senet.aspx</t>
  </si>
  <si>
    <t>Direkte og indirekte skatter tabt på ikke-udbetalt hospitalslønninger (8,5% af 106.870 lønninger af gen. 35.000 kr./måned)</t>
  </si>
  <si>
    <t>Der er her for overblikkets og politikkens skyld brugt den simplest mulige model; alle alderstrin og grupper får det samme - dette er ikke nødvendigvis den optimale fordeling.</t>
  </si>
  <si>
    <t>En primær finansieringsfaktor er den forventede vækst i eksporten som følge af sænkede lønninger grundet UBI, som set for Tyskland da denne mindskede lønningerne voldsomt efter krisen i 2010 - dette har i Tyskland skabt et stort ulighedsproblem og en stor gruppe af mennesker der må arbejde meget hårdt for meget få penge. I Danmark med UBI undgås dette, samtidig med at eksportvæksten kan benyttes til finansiering af selvsamme UBI.</t>
  </si>
  <si>
    <t>Dette er nær unikt for Danmark (Schweiz er over, mens Norge, Holland og Canada er tæt på).</t>
  </si>
  <si>
    <t xml:space="preserve">Selv i et meget ekstremt eksempel hvor f.eks. 1 mio. EU borgere tager til Danmark for at få del i UBI på 20000 kr/måned, vil de i det første år intet få (og have ekstremt svært ved at finde job i konkurrence med UBI-understøttede), og selv hvis alle er blevet vil de på andet år kun få 1/40*20000 = 500 kr/måned. Der går således 20 år med ekstremt lav indkomst (&lt;10K før skat/måned) før et niveau som den nuværende kontanthjælp (der også er åben for alle EU-borgere) opnås. Og det der kan tjenes ved siden af i konkurrence med UBI-understøttede (hvor et job til tidl. 25.000 kr. der blev underbudt til 15.000 kr. af EU-borger nu kun giver op til 5000 kr./måned og er ekstremt konkurrencedygtigt) vil ikke være nok til at gøre det attraktivt, hvormed tendensen for EU-indvandring vil være mindre end i forhold til kontanthjælp, så længe EU-hjemlandene ikke yder deres del af brøk-UBIen - og yder hjemnlandet sin andel har borgeren ingen grund til at migrere til Danmark, da UBI'en så bare kunne fås hjemme i stedet. </t>
  </si>
  <si>
    <t xml:space="preserve"> Tobinskat?</t>
  </si>
  <si>
    <t>Øget grundskyld - 1400 mia. kr. at beskatte, +300 mio. kr. i efterslæb?</t>
  </si>
  <si>
    <t>Kan bruges til f.eks. meningsfuld beskæftigelsesindsats, uddannelse eller skattelettelser (= ekstra UBI) på</t>
  </si>
  <si>
    <t>Staten kunne købe ca. 50% af dette med standard ROI på 3 år til ca. 300 mia. DKK, og tjene overskuddet på ca. 100 mia. DKK per år efter de 3 år</t>
  </si>
  <si>
    <t>Virksomhederne betaler selskabsskat før overskuddet uddeles, så 50% af selskabsskatten skal trækkes fra før overskuddet udregnes</t>
  </si>
  <si>
    <t>Hvad kan vi finansiere med UBI til alle</t>
  </si>
  <si>
    <t>Tabt skat på fjernet arbejde</t>
  </si>
  <si>
    <t>Penge der allerede bruges på ydelser der erstattes af UBI</t>
  </si>
  <si>
    <t>Total</t>
  </si>
  <si>
    <t>Subtotal</t>
  </si>
  <si>
    <t>Afledte besparelser og udgifter</t>
  </si>
  <si>
    <t>Statens lønninger og indkøb</t>
  </si>
  <si>
    <t>Nye indtægtskilder til staten</t>
  </si>
  <si>
    <t>Totalfinansiering</t>
  </si>
  <si>
    <t>Hvor meget UBI får vi for det?</t>
  </si>
  <si>
    <t>kr/år</t>
  </si>
  <si>
    <t>Brøkpensionsmodellen</t>
  </si>
  <si>
    <t>Skat på UBI</t>
  </si>
  <si>
    <t>Regner vi med den samme skat på UBI som alt muligt andet, har vi følgende yderligere midler til UBI før skat</t>
  </si>
  <si>
    <t>Borgere, 2015K1 (heraf kan ca. 664.000 ikke-statsborgere dog antages at få en meget begrænset brøk-UBI og ingen sociale ydelser)</t>
  </si>
  <si>
    <t>Gennemsnitligt udbetalt UBI efter skat</t>
  </si>
  <si>
    <t>Gen.snit skat opr.</t>
  </si>
  <si>
    <t>Gennemsnitlig direkte skat</t>
  </si>
  <si>
    <t>Gennemsnitlig indirekte skat</t>
  </si>
  <si>
    <t>kr/måned EFTER skat</t>
  </si>
  <si>
    <t>kr/måned FØR skat</t>
  </si>
  <si>
    <t>Statborgere som der betales til</t>
  </si>
  <si>
    <t>Ikke-statsborgere som der betales til</t>
  </si>
  <si>
    <t>Antal</t>
  </si>
  <si>
    <t>Per måned</t>
  </si>
  <si>
    <t>Total per måned</t>
  </si>
  <si>
    <t>Ophold i år</t>
  </si>
  <si>
    <t>40+</t>
  </si>
  <si>
    <t>Hvem betaler vi til?</t>
  </si>
  <si>
    <t>Hvad kan vi have tilovers ved lavere UBI?</t>
  </si>
  <si>
    <t>UBI</t>
  </si>
  <si>
    <t>Samlet udbetaling</t>
  </si>
  <si>
    <t>Samlet overskud til statskassen</t>
  </si>
  <si>
    <t>Børn under 15 år der betales til, både statsborgere og ikke-statsborgere</t>
  </si>
  <si>
    <t>Eksempel på aldersgraduering</t>
  </si>
  <si>
    <t>UBI per måned</t>
  </si>
  <si>
    <t>0-6 år</t>
  </si>
  <si>
    <t>7-12 år</t>
  </si>
  <si>
    <t>13-17 år</t>
  </si>
  <si>
    <t>18-64 år</t>
  </si>
  <si>
    <t>65+ år</t>
  </si>
  <si>
    <t>Antal i befolkningen</t>
  </si>
  <si>
    <t>Total per år</t>
  </si>
  <si>
    <t>Overskud fra UBI finansiering</t>
  </si>
  <si>
    <t>Udbetaling ved år 18</t>
  </si>
  <si>
    <t>Udbetaling ved år 30</t>
  </si>
  <si>
    <t>Sparet akkumeret</t>
  </si>
  <si>
    <t>Sparet</t>
  </si>
  <si>
    <t>Besparelse</t>
  </si>
  <si>
    <t>Difference</t>
  </si>
  <si>
    <t>Antagelser - Eksport-Investering-UBI-modellen - Finansiering af Ubetinget Basisindkomst (UBI) på omkring 20.000 kr./måned, med afledte effekter - 150218-1SOE (soe@01ai.dk / +45 20730028)</t>
  </si>
  <si>
    <t>Ved sænkningen af lønningerne i det private erhvervsliv forsvinder store dele af lønbesparelsen muligvis til virksomhedsejerne, i stedet for at give yderligere lønninger til øget eksport, og selv når skatten af dette medregnes bliver der tale om en relativt lille tilbagebetaling til staten. For at modgå dette kan staten med fordel (for en del på forhånd) købe sig  ejerandele op mod 50% i de virksomheder der kan se frem til store overskud som følge af indførselen af UBI. En del af disse virksomheder kan også være udenlandske virksomheder med mange danske medarbejdere hvormed skatteprovenuet måske helt ville være udeblevet, og ved at købe sig ind i disse med en ejerandel får både halvdelen af UBI-betalingen retur samt en andel i fremtidigt overskud. Desuden vil investering af udenlandske virksomheder give et modspil til den værditilvækst kronen ellers vil få ved den øgede eksport, således at balancepunktet for eksporten vs. valutakursen kommer senere end det ellers ville være tilfældet. (Der kan i disse investering også være en del besparelser at hente for staten, i de tilfælde hvor de investeringte virksomheder også leverer direkte til staten, men dette er ikke medtaget her).</t>
  </si>
  <si>
    <t>Beregning - Eksport-investering-UBI-modellen - Finansiering af Ubetinget Basisindkomst (UBI) på omkring 20.000 kr./måned, med afledte effekter - 150218-1SOE (soe@01ai.dk / +45 20730028)</t>
  </si>
  <si>
    <t>Overskud af investering af danske virksomheder, efter selskabsskat *****</t>
  </si>
  <si>
    <t>Ekstra overskud i det private erhvervsliv ved lønnedgang, og det offentliges investeringsandel deraf ******</t>
  </si>
  <si>
    <t>*****) investering af 50% anpart i virksomheder i Danmark med potentiale for stort overskud baseret lavløns-eksport, og overskud deraf</t>
  </si>
  <si>
    <t>******) Ekstra overskud i det private erhvervsliv ved lønnedgang (stort set ingen har en løn under UBI) som ikke arbejder for det offentlige, og det offentliges investeringsandel deraf</t>
  </si>
  <si>
    <t>Deraf statens andel af øget overskud i de 66,2% af virksomhederne der har overskud, ved investering af 50% ejerskab</t>
  </si>
  <si>
    <t>Stigning i eksport - Eksport-investering-UBI-modellen - Finansiering af Ubetinget Basisindkomst (UBI) på omkring 20.000 kr./måned, med afledte effekter - 150218-1SOE (soe@01ai.dk / +45 20730028)</t>
  </si>
</sst>
</file>

<file path=xl/styles.xml><?xml version="1.0" encoding="utf-8"?>
<styleSheet xmlns="http://schemas.openxmlformats.org/spreadsheetml/2006/main">
  <numFmts count="2">
    <numFmt numFmtId="164" formatCode="0.0%"/>
    <numFmt numFmtId="165" formatCode="&quot;kr.&quot;\ #,##0"/>
  </numFmts>
  <fonts count="8">
    <font>
      <sz val="11"/>
      <color theme="1"/>
      <name val="Calibri"/>
      <family val="2"/>
      <scheme val="minor"/>
    </font>
    <font>
      <b/>
      <sz val="11"/>
      <color indexed="8"/>
      <name val="Calibri"/>
      <family val="2"/>
    </font>
    <font>
      <sz val="11"/>
      <color indexed="9"/>
      <name val="Calibri"/>
      <family val="2"/>
    </font>
    <font>
      <i/>
      <sz val="11"/>
      <color indexed="8"/>
      <name val="Calibri"/>
      <family val="2"/>
    </font>
    <font>
      <b/>
      <sz val="11"/>
      <color indexed="17"/>
      <name val="Calibri"/>
      <family val="2"/>
    </font>
    <font>
      <b/>
      <i/>
      <sz val="11"/>
      <color indexed="8"/>
      <name val="Calibri"/>
      <family val="2"/>
    </font>
    <font>
      <sz val="8"/>
      <name val="Calibri"/>
      <family val="2"/>
    </font>
    <font>
      <u/>
      <sz val="11"/>
      <color theme="10"/>
      <name val="Calibri"/>
      <family val="2"/>
      <scheme val="minor"/>
    </font>
  </fonts>
  <fills count="3">
    <fill>
      <patternFill patternType="none"/>
    </fill>
    <fill>
      <patternFill patternType="gray125"/>
    </fill>
    <fill>
      <patternFill patternType="solid">
        <fgColor indexed="13"/>
        <bgColor indexed="64"/>
      </patternFill>
    </fill>
  </fills>
  <borders count="4">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43">
    <xf numFmtId="0" fontId="0" fillId="0" borderId="0" xfId="0"/>
    <xf numFmtId="0" fontId="1" fillId="0" borderId="0" xfId="0" applyFont="1"/>
    <xf numFmtId="0" fontId="0" fillId="0" borderId="0" xfId="0" applyFont="1"/>
    <xf numFmtId="3" fontId="0" fillId="0" borderId="0" xfId="0" applyNumberFormat="1"/>
    <xf numFmtId="0" fontId="0" fillId="0" borderId="1" xfId="0" applyBorder="1"/>
    <xf numFmtId="3" fontId="0" fillId="0" borderId="1" xfId="0" applyNumberFormat="1" applyBorder="1"/>
    <xf numFmtId="0" fontId="0" fillId="0" borderId="2" xfId="0" applyBorder="1"/>
    <xf numFmtId="3" fontId="0" fillId="0" borderId="2" xfId="0" applyNumberFormat="1" applyBorder="1"/>
    <xf numFmtId="0" fontId="0" fillId="0" borderId="0" xfId="0" applyAlignment="1">
      <alignment horizontal="left"/>
    </xf>
    <xf numFmtId="0" fontId="0" fillId="0" borderId="0" xfId="0" applyAlignment="1">
      <alignment horizontal="center"/>
    </xf>
    <xf numFmtId="164" fontId="0" fillId="0" borderId="0" xfId="0" applyNumberFormat="1" applyAlignment="1">
      <alignment horizontal="center"/>
    </xf>
    <xf numFmtId="0" fontId="2" fillId="0" borderId="0" xfId="0" applyFont="1"/>
    <xf numFmtId="0" fontId="0" fillId="0" borderId="0" xfId="0" quotePrefix="1"/>
    <xf numFmtId="4" fontId="0" fillId="0" borderId="0" xfId="0" applyNumberFormat="1"/>
    <xf numFmtId="10" fontId="0" fillId="0" borderId="0" xfId="0" applyNumberFormat="1"/>
    <xf numFmtId="0" fontId="3" fillId="0" borderId="0" xfId="0" applyFont="1"/>
    <xf numFmtId="3" fontId="3" fillId="0" borderId="0" xfId="0" applyNumberFormat="1" applyFont="1"/>
    <xf numFmtId="0" fontId="7" fillId="0" borderId="0" xfId="1"/>
    <xf numFmtId="0" fontId="0" fillId="0" borderId="0" xfId="0" applyBorder="1"/>
    <xf numFmtId="3" fontId="0" fillId="0" borderId="0" xfId="0" applyNumberFormat="1" applyBorder="1"/>
    <xf numFmtId="164" fontId="0" fillId="2" borderId="0" xfId="0" applyNumberFormat="1" applyFill="1" applyAlignment="1">
      <alignment horizontal="center"/>
    </xf>
    <xf numFmtId="0" fontId="0" fillId="0" borderId="0" xfId="0" applyAlignment="1">
      <alignment horizontal="left" wrapText="1"/>
    </xf>
    <xf numFmtId="3" fontId="0" fillId="0" borderId="0" xfId="0" applyNumberFormat="1" applyFont="1"/>
    <xf numFmtId="3" fontId="7" fillId="0" borderId="0" xfId="1" applyNumberFormat="1"/>
    <xf numFmtId="0" fontId="4" fillId="0" borderId="0" xfId="0" applyFont="1"/>
    <xf numFmtId="3" fontId="4" fillId="0" borderId="0" xfId="0" applyNumberFormat="1" applyFont="1"/>
    <xf numFmtId="10" fontId="3" fillId="0" borderId="0" xfId="0" applyNumberFormat="1" applyFont="1"/>
    <xf numFmtId="9" fontId="0" fillId="0" borderId="0" xfId="0" applyNumberFormat="1"/>
    <xf numFmtId="0" fontId="0" fillId="0" borderId="0" xfId="0" applyAlignment="1">
      <alignment horizontal="right"/>
    </xf>
    <xf numFmtId="0" fontId="0" fillId="0" borderId="0" xfId="0" applyFont="1" applyFill="1"/>
    <xf numFmtId="3" fontId="0" fillId="0" borderId="0" xfId="0" applyNumberFormat="1" applyFont="1" applyFill="1"/>
    <xf numFmtId="0" fontId="0" fillId="0" borderId="0" xfId="0" applyFill="1"/>
    <xf numFmtId="0" fontId="7" fillId="0" borderId="0" xfId="1" applyFill="1"/>
    <xf numFmtId="3" fontId="3" fillId="0" borderId="3" xfId="0" applyNumberFormat="1" applyFont="1" applyBorder="1"/>
    <xf numFmtId="3" fontId="3" fillId="0" borderId="1" xfId="0" applyNumberFormat="1" applyFont="1" applyBorder="1"/>
    <xf numFmtId="3" fontId="3" fillId="0" borderId="0" xfId="0" applyNumberFormat="1" applyFont="1" applyBorder="1"/>
    <xf numFmtId="3" fontId="1" fillId="0" borderId="0" xfId="0" applyNumberFormat="1" applyFont="1"/>
    <xf numFmtId="164" fontId="0" fillId="0" borderId="0" xfId="0" applyNumberFormat="1"/>
    <xf numFmtId="165" fontId="0" fillId="0" borderId="0" xfId="0" applyNumberFormat="1"/>
    <xf numFmtId="0" fontId="5" fillId="0" borderId="0" xfId="0" applyFont="1"/>
    <xf numFmtId="165" fontId="5" fillId="0" borderId="0" xfId="0" applyNumberFormat="1" applyFont="1"/>
    <xf numFmtId="0" fontId="0" fillId="0" borderId="0" xfId="0" applyAlignment="1">
      <alignment horizontal="left" wrapText="1"/>
    </xf>
    <xf numFmtId="0" fontId="4" fillId="0" borderId="0" xfId="0" applyFont="1" applyAlignment="1">
      <alignment horizontal="left" wrapText="1"/>
    </xf>
  </cellXfs>
  <cellStyles count="2">
    <cellStyle name="Hyperlink" xfId="1" builtinId="8"/>
    <cellStyle name="Normal" xfId="0" builtinId="0"/>
  </cellStyles>
  <dxfs count="0"/>
  <tableStyles count="0" defaultTableStyle="TableStyleMedium2" defaultPivotStyle="Pivot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ing.dk/artikel/730000-job-overtages-af-robotter-172125" TargetMode="External"/><Relationship Id="rId2" Type="http://schemas.openxmlformats.org/officeDocument/2006/relationships/hyperlink" Target="https://decorrespondent.nl/541/why-we-should-give-free-money-to-everyone/5002791464-b5586356" TargetMode="External"/><Relationship Id="rId1" Type="http://schemas.openxmlformats.org/officeDocument/2006/relationships/hyperlink" Target="http://www.aeldresagen.dk/faa-raad-og-stoette/vaerdatvide/social_pension/faelles_bestemmelser_for_social_pension/broekpension/broekpension/sider/default.aspx" TargetMode="External"/><Relationship Id="rId4" Type="http://schemas.openxmlformats.org/officeDocument/2006/relationships/hyperlink" Target="http://www.economonitor.com/dolanecon/2014/08/25/a-universal-basic-income-and-work-incentives-part-2-evidenc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economonitor.com/dolanecon/2014/08/25/a-universal-basic-income-and-work-incentives-part-2-evidence/" TargetMode="External"/><Relationship Id="rId13" Type="http://schemas.openxmlformats.org/officeDocument/2006/relationships/hyperlink" Target="http://www.aeldresagen.dk/temaer/sider/pensionssatserne-for-2014.aspx" TargetMode="External"/><Relationship Id="rId18" Type="http://schemas.openxmlformats.org/officeDocument/2006/relationships/hyperlink" Target="http://regioner.dk/Aktuelt/Temaer/Fakta+om+regionernes+effektivitet+og+%C3%B8konomi/Kopi+af+Fakta+om+sundhedsv%C3%A6senet.aspx" TargetMode="External"/><Relationship Id="rId3" Type="http://schemas.openxmlformats.org/officeDocument/2006/relationships/hyperlink" Target="http://public.econ.duke.edu/~erw/197/forget-cea%20%282%29.pdf" TargetMode="External"/><Relationship Id="rId7" Type="http://schemas.openxmlformats.org/officeDocument/2006/relationships/hyperlink" Target="http://www.frivillighed.dk/Webnodes/FAQ+-+fakta,+tal+og+begreber/21087" TargetMode="External"/><Relationship Id="rId12" Type="http://schemas.openxmlformats.org/officeDocument/2006/relationships/hyperlink" Target="http://www.su.dk/SU/satserSU/ungdomsuddannelse/Sider/default.aspx" TargetMode="External"/><Relationship Id="rId17" Type="http://schemas.openxmlformats.org/officeDocument/2006/relationships/hyperlink" Target="http://www.fsr.dk/~/media/Files/Presse%20og%20nyheder/Analyser/Analyser/2015/Analyse%20-%20Sundhedsanalyse%204%20%20kvartal%202014%20-%20v3.ashx" TargetMode="External"/><Relationship Id="rId2" Type="http://schemas.openxmlformats.org/officeDocument/2006/relationships/hyperlink" Target="http://www.dst.dk/da/Statistik/Publikationer/VisPub.aspx?cid=018680" TargetMode="External"/><Relationship Id="rId16" Type="http://schemas.openxmlformats.org/officeDocument/2006/relationships/hyperlink" Target="http://www.statistikbanken.dk/statbank5a/selectvarval/define.asp?PLanguage=0&amp;subword=tabsel&amp;MainTable=AKU100&amp;PXSId=152587&amp;tablestyle=&amp;ST=SD&amp;buttons=0" TargetMode="External"/><Relationship Id="rId1" Type="http://schemas.openxmlformats.org/officeDocument/2006/relationships/hyperlink" Target="http://www.skm.dk/skattetal/statistik/indkomstfordeling/gennemsnitsskatten-for-samtlige-skattepligtige-i-2013/" TargetMode="External"/><Relationship Id="rId6" Type="http://schemas.openxmlformats.org/officeDocument/2006/relationships/hyperlink" Target="http://www.dst.dk/pukora/epub/upload/17958/arb.pdf" TargetMode="External"/><Relationship Id="rId11" Type="http://schemas.openxmlformats.org/officeDocument/2006/relationships/hyperlink" Target="http://bm.dk/da/Beskaeftigelsesomraadet/Ydelser/Kontanthjaelp/Hvor%20meget%20kan%20man%20faa%20i%20kontanthjaelp.aspx" TargetMode="External"/><Relationship Id="rId5" Type="http://schemas.openxmlformats.org/officeDocument/2006/relationships/hyperlink" Target="http://www.regioner.dk/aktuelt/nyheder/2014/september/hver+anden+regional+krone+bruges+hos+private+leverand%C3%B8rer" TargetMode="External"/><Relationship Id="rId15" Type="http://schemas.openxmlformats.org/officeDocument/2006/relationships/hyperlink" Target="http://www.skm.dk/media/1149435/skatteoekonomisk-analyse_selskabsskat_051214-opd2.pdf" TargetMode="External"/><Relationship Id="rId10" Type="http://schemas.openxmlformats.org/officeDocument/2006/relationships/hyperlink" Target="http://www.min-a-kasse.dk/udbetalingssatser-2012" TargetMode="External"/><Relationship Id="rId4" Type="http://schemas.openxmlformats.org/officeDocument/2006/relationships/hyperlink" Target="http://www.statistikbanken.dk/statbank5a/selectvarval/define.asp?PLanguage=0&amp;subword=tabsel&amp;MainTable=FOLK1&amp;PXSId=170291&amp;tablestyle=&amp;ST=SD&amp;buttons=0" TargetMode="External"/><Relationship Id="rId9" Type="http://schemas.openxmlformats.org/officeDocument/2006/relationships/hyperlink" Target="http://www.information.dk/databloggen/480268" TargetMode="External"/><Relationship Id="rId14" Type="http://schemas.openxmlformats.org/officeDocument/2006/relationships/hyperlink" Target="http://politiken.dk/oekonomi/arbejdsmarked/ECE2446741/robotter-og-ny-teknik-truer-730000-job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dst.dk/da/Statistik/emner/udenrigshandel/udenrigshandel-med-varer.aspx" TargetMode="External"/><Relationship Id="rId2" Type="http://schemas.openxmlformats.org/officeDocument/2006/relationships/hyperlink" Target="http://www.ucl.ac.uk/~uctpb21/Cpapers/jep_germany_competitiveness.pdf" TargetMode="External"/><Relationship Id="rId1" Type="http://schemas.openxmlformats.org/officeDocument/2006/relationships/hyperlink" Target="http://www.tradingeconomics.com/germany/exports" TargetMode="External"/></Relationships>
</file>

<file path=xl/worksheets/sheet1.xml><?xml version="1.0" encoding="utf-8"?>
<worksheet xmlns="http://schemas.openxmlformats.org/spreadsheetml/2006/main" xmlns:r="http://schemas.openxmlformats.org/officeDocument/2006/relationships">
  <dimension ref="A1:O34"/>
  <sheetViews>
    <sheetView tabSelected="1" workbookViewId="0">
      <selection activeCell="A2" sqref="A2"/>
    </sheetView>
  </sheetViews>
  <sheetFormatPr defaultRowHeight="15"/>
  <sheetData>
    <row r="1" spans="1:15">
      <c r="A1" s="1" t="s">
        <v>165</v>
      </c>
    </row>
    <row r="3" spans="1:15">
      <c r="A3" s="15" t="s">
        <v>50</v>
      </c>
    </row>
    <row r="5" spans="1:15" ht="47.25" customHeight="1">
      <c r="A5" s="41" t="s">
        <v>51</v>
      </c>
      <c r="B5" s="41"/>
      <c r="C5" s="41"/>
      <c r="D5" s="41"/>
      <c r="E5" s="41"/>
      <c r="F5" s="41"/>
      <c r="G5" s="41"/>
      <c r="H5" s="41"/>
      <c r="I5" s="41"/>
      <c r="J5" s="41"/>
      <c r="K5" s="41"/>
      <c r="L5" s="41"/>
      <c r="M5" s="41"/>
      <c r="N5" s="41"/>
      <c r="O5" s="41"/>
    </row>
    <row r="6" spans="1:15">
      <c r="A6" t="s">
        <v>20</v>
      </c>
      <c r="B6" s="17" t="s">
        <v>52</v>
      </c>
      <c r="I6" t="s">
        <v>53</v>
      </c>
    </row>
    <row r="8" spans="1:15">
      <c r="A8" t="s">
        <v>18</v>
      </c>
    </row>
    <row r="10" spans="1:15">
      <c r="A10" t="s">
        <v>19</v>
      </c>
    </row>
    <row r="11" spans="1:15">
      <c r="A11" t="s">
        <v>108</v>
      </c>
    </row>
    <row r="13" spans="1:15">
      <c r="A13" t="s">
        <v>17</v>
      </c>
    </row>
    <row r="14" spans="1:15">
      <c r="A14" t="s">
        <v>16</v>
      </c>
      <c r="F14" s="17" t="s">
        <v>15</v>
      </c>
    </row>
    <row r="15" spans="1:15">
      <c r="F15" s="17"/>
    </row>
    <row r="16" spans="1:15" ht="105.75" customHeight="1">
      <c r="A16" s="41" t="s">
        <v>109</v>
      </c>
      <c r="B16" s="41"/>
      <c r="C16" s="41"/>
      <c r="D16" s="41"/>
      <c r="E16" s="41"/>
      <c r="F16" s="41"/>
      <c r="G16" s="41"/>
      <c r="H16" s="41"/>
      <c r="I16" s="41"/>
      <c r="J16" s="41"/>
      <c r="K16" s="41"/>
      <c r="L16" s="41"/>
      <c r="M16" s="41"/>
      <c r="N16" s="41"/>
      <c r="O16" s="41"/>
    </row>
    <row r="18" spans="1:15">
      <c r="A18" t="s">
        <v>106</v>
      </c>
    </row>
    <row r="20" spans="1:15" ht="48.75" customHeight="1">
      <c r="A20" s="41" t="s">
        <v>21</v>
      </c>
      <c r="B20" s="41"/>
      <c r="C20" s="41"/>
      <c r="D20" s="41"/>
      <c r="E20" s="41"/>
      <c r="F20" s="41"/>
      <c r="G20" s="41"/>
      <c r="H20" s="41"/>
      <c r="I20" s="41"/>
      <c r="J20" s="41"/>
      <c r="K20" s="41"/>
      <c r="L20" s="41"/>
      <c r="M20" s="41"/>
      <c r="N20" s="41"/>
      <c r="O20" s="41"/>
    </row>
    <row r="21" spans="1:15">
      <c r="A21" s="21"/>
      <c r="B21" s="21"/>
      <c r="C21" s="21"/>
      <c r="D21" s="21"/>
      <c r="E21" s="21"/>
      <c r="F21" s="21"/>
      <c r="G21" s="21"/>
      <c r="H21" s="21"/>
      <c r="I21" s="21"/>
      <c r="J21" s="21"/>
      <c r="K21" s="21"/>
      <c r="L21" s="21"/>
      <c r="M21" s="21"/>
      <c r="N21" s="21"/>
      <c r="O21" s="21"/>
    </row>
    <row r="22" spans="1:15" ht="47.25" customHeight="1">
      <c r="A22" s="41" t="s">
        <v>107</v>
      </c>
      <c r="B22" s="41"/>
      <c r="C22" s="41"/>
      <c r="D22" s="41"/>
      <c r="E22" s="41"/>
      <c r="F22" s="41"/>
      <c r="G22" s="41"/>
      <c r="H22" s="41"/>
      <c r="I22" s="41"/>
      <c r="J22" s="41"/>
      <c r="K22" s="41"/>
      <c r="L22" s="41"/>
      <c r="M22" s="41"/>
      <c r="N22" s="41"/>
      <c r="O22" s="41"/>
    </row>
    <row r="24" spans="1:15" ht="117.75" customHeight="1">
      <c r="A24" s="41" t="s">
        <v>166</v>
      </c>
      <c r="B24" s="41"/>
      <c r="C24" s="41"/>
      <c r="D24" s="41"/>
      <c r="E24" s="41"/>
      <c r="F24" s="41"/>
      <c r="G24" s="41"/>
      <c r="H24" s="41"/>
      <c r="I24" s="41"/>
      <c r="J24" s="41"/>
      <c r="K24" s="41"/>
      <c r="L24" s="41"/>
      <c r="M24" s="41"/>
      <c r="N24" s="41"/>
      <c r="O24" s="41"/>
    </row>
    <row r="26" spans="1:15" ht="64.5" customHeight="1">
      <c r="A26" s="42" t="s">
        <v>77</v>
      </c>
      <c r="B26" s="42"/>
      <c r="C26" s="42"/>
      <c r="D26" s="42"/>
      <c r="E26" s="42"/>
      <c r="F26" s="42"/>
      <c r="G26" s="42"/>
      <c r="H26" s="42"/>
      <c r="I26" s="42"/>
      <c r="J26" s="42"/>
      <c r="K26" s="42"/>
      <c r="L26" s="42"/>
      <c r="M26" s="42"/>
      <c r="N26" s="42"/>
      <c r="O26" s="42"/>
    </row>
    <row r="28" spans="1:15" ht="34.5" customHeight="1">
      <c r="A28" s="41" t="s">
        <v>34</v>
      </c>
      <c r="B28" s="41"/>
      <c r="C28" s="41"/>
      <c r="D28" s="41"/>
      <c r="E28" s="41"/>
      <c r="F28" s="41"/>
      <c r="G28" s="41"/>
      <c r="H28" s="41"/>
      <c r="I28" s="41"/>
      <c r="J28" s="41"/>
      <c r="K28" s="41"/>
      <c r="L28" s="41"/>
      <c r="M28" s="41"/>
      <c r="N28" s="41"/>
      <c r="O28" s="41"/>
    </row>
    <row r="29" spans="1:15">
      <c r="A29" s="21"/>
      <c r="B29" s="21"/>
      <c r="C29" s="21"/>
      <c r="D29" s="21"/>
      <c r="E29" s="21"/>
      <c r="F29" s="21"/>
      <c r="G29" s="21"/>
      <c r="H29" s="21"/>
      <c r="I29" s="21"/>
      <c r="J29" s="21"/>
      <c r="K29" s="21"/>
      <c r="L29" s="21"/>
      <c r="M29" s="21"/>
      <c r="N29" s="21"/>
      <c r="O29" s="21"/>
    </row>
    <row r="30" spans="1:15" ht="20.25" customHeight="1">
      <c r="A30" s="41" t="s">
        <v>59</v>
      </c>
      <c r="B30" s="41"/>
      <c r="C30" s="41"/>
      <c r="D30" s="41"/>
      <c r="E30" s="41"/>
      <c r="F30" s="41"/>
      <c r="G30" s="41"/>
      <c r="H30" s="41"/>
      <c r="I30" s="41"/>
      <c r="J30" s="41"/>
      <c r="K30" s="41"/>
      <c r="L30" s="41"/>
      <c r="M30" s="41"/>
      <c r="N30" s="41"/>
      <c r="O30" s="41"/>
    </row>
    <row r="31" spans="1:15">
      <c r="A31" s="17" t="s">
        <v>35</v>
      </c>
    </row>
    <row r="32" spans="1:15">
      <c r="A32" s="17" t="s">
        <v>58</v>
      </c>
    </row>
    <row r="34" spans="1:1">
      <c r="A34" s="17"/>
    </row>
  </sheetData>
  <mergeCells count="8">
    <mergeCell ref="A28:O28"/>
    <mergeCell ref="A30:O30"/>
    <mergeCell ref="A5:O5"/>
    <mergeCell ref="A26:O26"/>
    <mergeCell ref="A16:O16"/>
    <mergeCell ref="A20:O20"/>
    <mergeCell ref="A22:O22"/>
    <mergeCell ref="A24:O24"/>
  </mergeCells>
  <phoneticPr fontId="6" type="noConversion"/>
  <hyperlinks>
    <hyperlink ref="F14" r:id="rId1"/>
    <hyperlink ref="A31" r:id="rId2"/>
    <hyperlink ref="B6" r:id="rId3"/>
    <hyperlink ref="A32"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70"/>
  <sheetViews>
    <sheetView workbookViewId="0">
      <selection activeCell="E2" sqref="E2"/>
    </sheetView>
  </sheetViews>
  <sheetFormatPr defaultRowHeight="15"/>
  <cols>
    <col min="1" max="1" width="126.28515625" customWidth="1"/>
    <col min="2" max="2" width="19.5703125" style="3" customWidth="1"/>
    <col min="3" max="3" width="7.140625" customWidth="1"/>
    <col min="4" max="4" width="14.7109375" customWidth="1"/>
    <col min="5" max="5" width="15.28515625" customWidth="1"/>
    <col min="8" max="8" width="12.5703125" bestFit="1" customWidth="1"/>
    <col min="9" max="9" width="21.5703125" customWidth="1"/>
  </cols>
  <sheetData>
    <row r="1" spans="1:6">
      <c r="A1" s="1" t="s">
        <v>167</v>
      </c>
    </row>
    <row r="3" spans="1:6">
      <c r="A3" s="2" t="s">
        <v>129</v>
      </c>
      <c r="B3" s="3">
        <v>5659715</v>
      </c>
      <c r="C3" t="s">
        <v>1</v>
      </c>
      <c r="E3" t="s">
        <v>20</v>
      </c>
      <c r="F3" s="17" t="s">
        <v>42</v>
      </c>
    </row>
    <row r="4" spans="1:6">
      <c r="A4" s="2" t="s">
        <v>93</v>
      </c>
      <c r="B4" s="3">
        <v>25000</v>
      </c>
      <c r="C4" t="s">
        <v>2</v>
      </c>
    </row>
    <row r="5" spans="1:6">
      <c r="A5" s="2" t="s">
        <v>3</v>
      </c>
      <c r="B5" s="3">
        <f>B4*B3*12</f>
        <v>1697914500000</v>
      </c>
      <c r="C5" t="s">
        <v>4</v>
      </c>
    </row>
    <row r="7" spans="1:6">
      <c r="A7" s="1" t="s">
        <v>0</v>
      </c>
    </row>
    <row r="8" spans="1:6">
      <c r="A8" t="str">
        <f>CONCATENATE("Gennemsnitligt trækkes ", G33,"% fra i direkte skat (minus bundfradrag) og ",G35,"% i indirekte skatter efter udbetaling")</f>
        <v>Gennemsnitligt trækkes 30% fra i direkte skat (minus bundfradrag) og 19% i indirekte skatter efter udbetaling</v>
      </c>
      <c r="B8" s="3">
        <f>(B5*($D$34+$D$36))</f>
        <v>831978105000</v>
      </c>
    </row>
    <row r="9" spans="1:6">
      <c r="A9" t="s">
        <v>14</v>
      </c>
      <c r="B9" s="3">
        <v>162000000000</v>
      </c>
      <c r="C9" t="s">
        <v>24</v>
      </c>
      <c r="D9" s="23">
        <f>B9+B10</f>
        <v>82620000000</v>
      </c>
    </row>
    <row r="10" spans="1:6" s="15" customFormat="1">
      <c r="A10" s="15" t="s">
        <v>28</v>
      </c>
      <c r="B10" s="16">
        <f>-B9*($D$34+$D$36)</f>
        <v>-79380000000</v>
      </c>
    </row>
    <row r="11" spans="1:6">
      <c r="A11" t="s">
        <v>5</v>
      </c>
      <c r="B11" s="3">
        <v>81000000000</v>
      </c>
      <c r="C11" t="s">
        <v>24</v>
      </c>
    </row>
    <row r="12" spans="1:6" s="15" customFormat="1">
      <c r="A12" s="15" t="s">
        <v>29</v>
      </c>
      <c r="B12" s="16">
        <f>-B11*($D$34+$D$36)</f>
        <v>-39690000000</v>
      </c>
      <c r="C12"/>
    </row>
    <row r="13" spans="1:6">
      <c r="A13" t="s">
        <v>8</v>
      </c>
      <c r="B13" s="3">
        <v>25000000000</v>
      </c>
      <c r="C13" t="s">
        <v>24</v>
      </c>
    </row>
    <row r="14" spans="1:6" s="15" customFormat="1">
      <c r="A14" s="15" t="s">
        <v>29</v>
      </c>
      <c r="B14" s="16">
        <f>-B13*($D$34+$D$36)</f>
        <v>-12250000000</v>
      </c>
      <c r="C14"/>
    </row>
    <row r="15" spans="1:6">
      <c r="A15" t="s">
        <v>9</v>
      </c>
      <c r="B15" s="3">
        <v>28000000000</v>
      </c>
      <c r="C15" t="s">
        <v>24</v>
      </c>
      <c r="D15" s="17"/>
    </row>
    <row r="16" spans="1:6" s="15" customFormat="1">
      <c r="A16" s="15" t="s">
        <v>30</v>
      </c>
      <c r="B16" s="16">
        <f>-B15*($D$34+$D$36)</f>
        <v>-13720000000</v>
      </c>
      <c r="C16"/>
    </row>
    <row r="17" spans="1:20">
      <c r="A17" t="s">
        <v>6</v>
      </c>
      <c r="B17" s="3">
        <v>14000000000</v>
      </c>
      <c r="C17" t="s">
        <v>24</v>
      </c>
    </row>
    <row r="18" spans="1:20" s="15" customFormat="1">
      <c r="A18" s="15" t="s">
        <v>31</v>
      </c>
      <c r="B18" s="16">
        <f>-B17*($D$34+$D$36)</f>
        <v>-6860000000</v>
      </c>
      <c r="C18"/>
    </row>
    <row r="19" spans="1:20">
      <c r="A19" t="s">
        <v>72</v>
      </c>
      <c r="B19" s="3">
        <f>B50</f>
        <v>259200000000</v>
      </c>
      <c r="C19" t="s">
        <v>24</v>
      </c>
      <c r="E19" s="14"/>
    </row>
    <row r="20" spans="1:20" s="15" customFormat="1">
      <c r="A20" s="15" t="s">
        <v>29</v>
      </c>
      <c r="B20" s="16">
        <f>-B19*($D$34+$D$36)</f>
        <v>-127008000000</v>
      </c>
      <c r="C20"/>
      <c r="E20" s="26"/>
    </row>
    <row r="21" spans="1:20">
      <c r="A21" t="s">
        <v>71</v>
      </c>
      <c r="B21" s="3">
        <f>B55</f>
        <v>130377600000</v>
      </c>
      <c r="C21" t="s">
        <v>24</v>
      </c>
      <c r="E21" s="14"/>
    </row>
    <row r="22" spans="1:20" s="15" customFormat="1">
      <c r="A22" s="15" t="s">
        <v>29</v>
      </c>
      <c r="B22" s="16">
        <f>-B21*($D$34+$D$36)</f>
        <v>-63885024000</v>
      </c>
      <c r="C22"/>
    </row>
    <row r="23" spans="1:20">
      <c r="A23" s="2" t="s">
        <v>55</v>
      </c>
      <c r="B23" s="22">
        <f>-570000000000*13%</f>
        <v>-74100000000</v>
      </c>
      <c r="C23" t="s">
        <v>20</v>
      </c>
      <c r="D23" s="17" t="s">
        <v>36</v>
      </c>
      <c r="J23" t="s">
        <v>56</v>
      </c>
      <c r="K23" s="17" t="s">
        <v>38</v>
      </c>
      <c r="S23" t="s">
        <v>57</v>
      </c>
      <c r="T23" s="17" t="s">
        <v>58</v>
      </c>
    </row>
    <row r="24" spans="1:20">
      <c r="A24" s="2" t="s">
        <v>76</v>
      </c>
      <c r="B24" s="22">
        <f>8.5%*103000000000</f>
        <v>8755000000</v>
      </c>
      <c r="C24" t="s">
        <v>20</v>
      </c>
      <c r="D24" s="17" t="s">
        <v>41</v>
      </c>
      <c r="J24" t="s">
        <v>37</v>
      </c>
      <c r="K24" s="17" t="s">
        <v>40</v>
      </c>
    </row>
    <row r="25" spans="1:20" s="15" customFormat="1">
      <c r="A25" s="15" t="s">
        <v>105</v>
      </c>
      <c r="B25" s="16">
        <f>-106870*35000*12*(D34+D36)*8.5%</f>
        <v>-1869476910.0000002</v>
      </c>
      <c r="C25" t="s">
        <v>45</v>
      </c>
      <c r="D25" s="17" t="s">
        <v>104</v>
      </c>
    </row>
    <row r="26" spans="1:20">
      <c r="A26" s="24" t="s">
        <v>73</v>
      </c>
      <c r="B26" s="25">
        <f>134500000000</f>
        <v>134500000000</v>
      </c>
      <c r="C26" t="s">
        <v>20</v>
      </c>
      <c r="D26" s="17" t="s">
        <v>54</v>
      </c>
      <c r="K26" s="17"/>
    </row>
    <row r="27" spans="1:20" s="31" customFormat="1">
      <c r="A27" s="29" t="s">
        <v>75</v>
      </c>
      <c r="B27" s="30">
        <f>730000*13000*12</f>
        <v>113880000000</v>
      </c>
      <c r="C27" s="31" t="s">
        <v>20</v>
      </c>
      <c r="D27" s="32" t="s">
        <v>74</v>
      </c>
      <c r="K27" s="32"/>
    </row>
    <row r="28" spans="1:20">
      <c r="A28" s="2" t="s">
        <v>101</v>
      </c>
      <c r="B28" s="22">
        <f ca="1">Eksportstigning!B21*1000000000</f>
        <v>114600000000</v>
      </c>
      <c r="D28" s="17"/>
      <c r="I28" s="28"/>
      <c r="K28" s="23"/>
    </row>
    <row r="29" spans="1:20">
      <c r="A29" s="2" t="s">
        <v>168</v>
      </c>
      <c r="B29" s="22">
        <f>B64</f>
        <v>79500000000</v>
      </c>
      <c r="D29" s="17"/>
      <c r="I29" s="28"/>
      <c r="K29" s="23"/>
    </row>
    <row r="30" spans="1:20">
      <c r="A30" s="2" t="s">
        <v>169</v>
      </c>
      <c r="B30" s="22">
        <f>B70</f>
        <v>136677314400</v>
      </c>
      <c r="D30" s="17"/>
      <c r="K30" s="17"/>
    </row>
    <row r="31" spans="1:20">
      <c r="A31" s="2" t="s">
        <v>111</v>
      </c>
      <c r="B31" s="22"/>
      <c r="D31" s="17"/>
      <c r="K31" s="17"/>
    </row>
    <row r="32" spans="1:20">
      <c r="A32" s="2" t="s">
        <v>110</v>
      </c>
      <c r="B32" s="22"/>
      <c r="D32" s="17"/>
      <c r="K32" s="17"/>
    </row>
    <row r="33" spans="1:12">
      <c r="C33" s="9" t="s">
        <v>7</v>
      </c>
      <c r="D33" s="8" t="s">
        <v>131</v>
      </c>
      <c r="F33" s="14">
        <v>0.3</v>
      </c>
      <c r="G33" s="11">
        <f>D34*100</f>
        <v>30</v>
      </c>
    </row>
    <row r="34" spans="1:12">
      <c r="A34" s="18" t="s">
        <v>25</v>
      </c>
      <c r="B34" s="19">
        <f>570000000000*C34/D34</f>
        <v>0</v>
      </c>
      <c r="C34" s="20">
        <v>0</v>
      </c>
      <c r="D34" s="10">
        <f>F33*(1+C34)</f>
        <v>0.3</v>
      </c>
      <c r="E34" t="s">
        <v>20</v>
      </c>
      <c r="F34" s="17" t="s">
        <v>26</v>
      </c>
      <c r="G34" s="11"/>
    </row>
    <row r="35" spans="1:12">
      <c r="C35" s="9" t="s">
        <v>7</v>
      </c>
      <c r="D35" s="8" t="s">
        <v>23</v>
      </c>
      <c r="F35" s="14">
        <v>0.19</v>
      </c>
      <c r="G35" s="11">
        <f>D36*100</f>
        <v>19</v>
      </c>
    </row>
    <row r="36" spans="1:12">
      <c r="A36" s="6" t="s">
        <v>22</v>
      </c>
      <c r="B36" s="7">
        <f>267000000000*C36</f>
        <v>0</v>
      </c>
      <c r="C36" s="20">
        <v>0</v>
      </c>
      <c r="D36" s="10">
        <f>F35*(1+C36)</f>
        <v>0.19</v>
      </c>
      <c r="E36" t="s">
        <v>27</v>
      </c>
      <c r="G36" s="11"/>
      <c r="H36" s="17"/>
    </row>
    <row r="37" spans="1:12">
      <c r="A37" t="s">
        <v>32</v>
      </c>
      <c r="B37" s="3">
        <f>SUM(B8:B36)</f>
        <v>1700705518490</v>
      </c>
      <c r="C37" s="12" t="s">
        <v>10</v>
      </c>
    </row>
    <row r="39" spans="1:12" ht="15.75" thickBot="1">
      <c r="A39" s="4" t="s">
        <v>33</v>
      </c>
      <c r="B39" s="5">
        <f>B37-B5</f>
        <v>2791018490</v>
      </c>
      <c r="C39" t="s">
        <v>112</v>
      </c>
      <c r="K39" s="13">
        <f>B39/B3/12</f>
        <v>41.094803213000418</v>
      </c>
      <c r="L39" t="s">
        <v>13</v>
      </c>
    </row>
    <row r="40" spans="1:12" ht="15.75" thickTop="1"/>
    <row r="41" spans="1:12">
      <c r="A41" t="s">
        <v>61</v>
      </c>
      <c r="B41" s="23" t="s">
        <v>60</v>
      </c>
    </row>
    <row r="42" spans="1:12">
      <c r="A42" t="s">
        <v>65</v>
      </c>
      <c r="B42" s="23" t="s">
        <v>63</v>
      </c>
    </row>
    <row r="43" spans="1:12">
      <c r="A43" t="s">
        <v>64</v>
      </c>
      <c r="B43" s="23" t="s">
        <v>66</v>
      </c>
    </row>
    <row r="44" spans="1:12">
      <c r="A44" t="s">
        <v>68</v>
      </c>
      <c r="B44" s="23" t="s">
        <v>39</v>
      </c>
    </row>
    <row r="45" spans="1:12">
      <c r="A45" t="s">
        <v>67</v>
      </c>
      <c r="B45" s="23" t="s">
        <v>62</v>
      </c>
    </row>
    <row r="47" spans="1:12">
      <c r="A47" s="1" t="s">
        <v>69</v>
      </c>
    </row>
    <row r="48" spans="1:12">
      <c r="A48" t="s">
        <v>11</v>
      </c>
      <c r="B48" s="3">
        <v>864000</v>
      </c>
      <c r="C48" t="s">
        <v>20</v>
      </c>
      <c r="D48" s="17" t="s">
        <v>44</v>
      </c>
    </row>
    <row r="49" spans="1:4">
      <c r="A49" t="s">
        <v>46</v>
      </c>
      <c r="B49" s="3">
        <f>B48*B4</f>
        <v>21600000000</v>
      </c>
    </row>
    <row r="50" spans="1:4">
      <c r="A50" t="s">
        <v>12</v>
      </c>
      <c r="B50" s="3">
        <f>B49*12</f>
        <v>259200000000</v>
      </c>
    </row>
    <row r="52" spans="1:4">
      <c r="A52" s="1" t="s">
        <v>70</v>
      </c>
    </row>
    <row r="53" spans="1:4">
      <c r="A53" t="s">
        <v>48</v>
      </c>
      <c r="B53" s="3">
        <f>B48*50.3%</f>
        <v>434592</v>
      </c>
      <c r="C53" t="s">
        <v>20</v>
      </c>
      <c r="D53" s="17" t="s">
        <v>43</v>
      </c>
    </row>
    <row r="54" spans="1:4">
      <c r="A54" t="s">
        <v>46</v>
      </c>
      <c r="B54" s="3">
        <f>B53*B4</f>
        <v>10864800000</v>
      </c>
    </row>
    <row r="55" spans="1:4">
      <c r="A55" t="s">
        <v>12</v>
      </c>
      <c r="B55" s="3">
        <f>B54*12</f>
        <v>130377600000</v>
      </c>
    </row>
    <row r="57" spans="1:4">
      <c r="A57" s="1" t="s">
        <v>94</v>
      </c>
    </row>
    <row r="58" spans="1:4">
      <c r="A58" s="3" t="s">
        <v>96</v>
      </c>
    </row>
    <row r="60" spans="1:4">
      <c r="A60" s="1" t="s">
        <v>170</v>
      </c>
    </row>
    <row r="61" spans="1:4">
      <c r="A61" t="s">
        <v>97</v>
      </c>
      <c r="B61" s="3">
        <v>53000000000</v>
      </c>
      <c r="C61" t="s">
        <v>45</v>
      </c>
      <c r="D61" s="17" t="s">
        <v>98</v>
      </c>
    </row>
    <row r="62" spans="1:4">
      <c r="A62" t="s">
        <v>99</v>
      </c>
      <c r="B62" s="3">
        <f>B61*4</f>
        <v>212000000000</v>
      </c>
    </row>
    <row r="63" spans="1:4">
      <c r="A63" t="s">
        <v>113</v>
      </c>
      <c r="B63" s="3">
        <f>B62*50%</f>
        <v>106000000000</v>
      </c>
    </row>
    <row r="64" spans="1:4">
      <c r="A64" t="s">
        <v>114</v>
      </c>
      <c r="B64" s="3">
        <f>B63-B61/2</f>
        <v>79500000000</v>
      </c>
    </row>
    <row r="67" spans="1:4">
      <c r="A67" s="1" t="s">
        <v>171</v>
      </c>
    </row>
    <row r="68" spans="1:4">
      <c r="A68" t="s">
        <v>47</v>
      </c>
      <c r="B68" s="3">
        <f>2675000-B48-B53</f>
        <v>1376408</v>
      </c>
      <c r="C68" t="s">
        <v>45</v>
      </c>
      <c r="D68" s="17" t="s">
        <v>49</v>
      </c>
    </row>
    <row r="69" spans="1:4">
      <c r="A69" t="s">
        <v>103</v>
      </c>
      <c r="B69" s="3">
        <f>$B$68*$B$4*12</f>
        <v>412922400000</v>
      </c>
    </row>
    <row r="70" spans="1:4">
      <c r="A70" t="s">
        <v>172</v>
      </c>
      <c r="B70" s="3">
        <f>B69*66.2%*50%</f>
        <v>136677314400</v>
      </c>
      <c r="C70" t="s">
        <v>45</v>
      </c>
      <c r="D70" s="17" t="s">
        <v>102</v>
      </c>
    </row>
  </sheetData>
  <phoneticPr fontId="6" type="noConversion"/>
  <hyperlinks>
    <hyperlink ref="F34" r:id="rId1"/>
    <hyperlink ref="K23" r:id="rId2"/>
    <hyperlink ref="D23" r:id="rId3"/>
    <hyperlink ref="F3" r:id="rId4"/>
    <hyperlink ref="D53" r:id="rId5"/>
    <hyperlink ref="D48" r:id="rId6"/>
    <hyperlink ref="D26" r:id="rId7"/>
    <hyperlink ref="T23" r:id="rId8"/>
    <hyperlink ref="B41" r:id="rId9"/>
    <hyperlink ref="B42" r:id="rId10"/>
    <hyperlink ref="B43" r:id="rId11"/>
    <hyperlink ref="B45" r:id="rId12"/>
    <hyperlink ref="B44" r:id="rId13"/>
    <hyperlink ref="D27" r:id="rId14"/>
    <hyperlink ref="D61" r:id="rId15"/>
    <hyperlink ref="D68" r:id="rId16"/>
    <hyperlink ref="D70" r:id="rId17"/>
    <hyperlink ref="D25" r:id="rId18"/>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23"/>
  <sheetViews>
    <sheetView workbookViewId="0">
      <selection activeCell="B25" sqref="B25"/>
    </sheetView>
  </sheetViews>
  <sheetFormatPr defaultRowHeight="15"/>
  <cols>
    <col min="1" max="1" width="31.42578125" customWidth="1"/>
    <col min="2" max="2" width="18.28515625" customWidth="1"/>
  </cols>
  <sheetData>
    <row r="1" spans="1:3">
      <c r="A1" s="1" t="s">
        <v>173</v>
      </c>
    </row>
    <row r="3" spans="1:3">
      <c r="A3" t="s">
        <v>90</v>
      </c>
    </row>
    <row r="4" spans="1:3">
      <c r="A4" s="17" t="s">
        <v>86</v>
      </c>
    </row>
    <row r="5" spans="1:3">
      <c r="A5" s="17" t="s">
        <v>87</v>
      </c>
    </row>
    <row r="6" spans="1:3">
      <c r="A6" s="17"/>
    </row>
    <row r="7" spans="1:3">
      <c r="A7" t="s">
        <v>92</v>
      </c>
    </row>
    <row r="9" spans="1:3">
      <c r="A9" t="s">
        <v>88</v>
      </c>
      <c r="B9">
        <v>600</v>
      </c>
      <c r="C9" s="17" t="s">
        <v>95</v>
      </c>
    </row>
    <row r="10" spans="1:3">
      <c r="A10" t="s">
        <v>100</v>
      </c>
      <c r="B10" s="27">
        <v>0.5</v>
      </c>
      <c r="C10" s="17"/>
    </row>
    <row r="11" spans="1:3">
      <c r="A11" t="s">
        <v>89</v>
      </c>
      <c r="B11">
        <f>B9*B10+B9</f>
        <v>900</v>
      </c>
    </row>
    <row r="12" spans="1:3">
      <c r="A12" t="s">
        <v>78</v>
      </c>
      <c r="B12">
        <f>B11-B9</f>
        <v>300</v>
      </c>
    </row>
    <row r="14" spans="1:3">
      <c r="A14" t="s">
        <v>82</v>
      </c>
    </row>
    <row r="15" spans="1:3">
      <c r="A15" t="s">
        <v>83</v>
      </c>
    </row>
    <row r="16" spans="1:3">
      <c r="A16" t="s">
        <v>84</v>
      </c>
    </row>
    <row r="18" spans="1:2">
      <c r="A18" t="s">
        <v>79</v>
      </c>
      <c r="B18">
        <f ca="1">B12*60%*'20K UBI med afledte effekter'!D34</f>
        <v>54</v>
      </c>
    </row>
    <row r="19" spans="1:2">
      <c r="A19" t="s">
        <v>80</v>
      </c>
      <c r="B19">
        <f ca="1">B12*60%*'20K UBI med afledte effekter'!D36</f>
        <v>34.200000000000003</v>
      </c>
    </row>
    <row r="20" spans="1:2">
      <c r="A20" t="s">
        <v>81</v>
      </c>
      <c r="B20">
        <f>B12*40%*22%</f>
        <v>26.4</v>
      </c>
    </row>
    <row r="21" spans="1:2">
      <c r="A21" t="s">
        <v>85</v>
      </c>
      <c r="B21">
        <f>SUM(B18:B20)</f>
        <v>114.6</v>
      </c>
    </row>
    <row r="23" spans="1:2">
      <c r="A23" t="s">
        <v>91</v>
      </c>
    </row>
  </sheetData>
  <phoneticPr fontId="6" type="noConversion"/>
  <hyperlinks>
    <hyperlink ref="A5" r:id="rId1"/>
    <hyperlink ref="A4" r:id="rId2"/>
    <hyperlink ref="C9"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10"/>
  <sheetViews>
    <sheetView workbookViewId="0">
      <selection activeCell="B38" sqref="B38"/>
    </sheetView>
  </sheetViews>
  <sheetFormatPr defaultRowHeight="15"/>
  <cols>
    <col min="1" max="1" width="106.5703125" bestFit="1" customWidth="1"/>
    <col min="2" max="2" width="19" customWidth="1"/>
    <col min="3" max="3" width="26.5703125" customWidth="1"/>
    <col min="4" max="4" width="17" bestFit="1" customWidth="1"/>
    <col min="5" max="5" width="14.5703125" bestFit="1" customWidth="1"/>
    <col min="6" max="6" width="16.85546875" bestFit="1" customWidth="1"/>
  </cols>
  <sheetData>
    <row r="1" spans="1:4">
      <c r="A1" s="1" t="s">
        <v>115</v>
      </c>
    </row>
    <row r="6" spans="1:4">
      <c r="A6" s="1" t="s">
        <v>117</v>
      </c>
      <c r="B6" s="1" t="s">
        <v>163</v>
      </c>
      <c r="C6" s="1" t="s">
        <v>116</v>
      </c>
      <c r="D6" s="1" t="s">
        <v>164</v>
      </c>
    </row>
    <row r="7" spans="1:4">
      <c r="A7" t="str">
        <f ca="1">'20K UBI med afledte effekter'!A9</f>
        <v>Sociale pensioner mm. (UBI er højere end enhver pension hvis over 18000 kr.)</v>
      </c>
      <c r="B7" s="3">
        <f ca="1">'20K UBI med afledte effekter'!B9</f>
        <v>162000000000</v>
      </c>
      <c r="C7" s="3">
        <f ca="1">'20K UBI med afledte effekter'!B10</f>
        <v>-79380000000</v>
      </c>
      <c r="D7" s="3">
        <f>C7+B7</f>
        <v>82620000000</v>
      </c>
    </row>
    <row r="8" spans="1:4">
      <c r="A8" t="str">
        <f ca="1">'20K UBI med afledte effekter'!A13</f>
        <v>Pensionsvæsenet, stort set alt</v>
      </c>
      <c r="B8" s="3">
        <f ca="1">'20K UBI med afledte effekter'!B13</f>
        <v>25000000000</v>
      </c>
      <c r="C8" s="3">
        <f ca="1">'20K UBI med afledte effekter'!B14</f>
        <v>-12250000000</v>
      </c>
      <c r="D8" s="3">
        <f>C8+B8</f>
        <v>12750000000</v>
      </c>
    </row>
    <row r="9" spans="1:4">
      <c r="A9" t="str">
        <f ca="1">'20K UBI med afledte effekter'!A15</f>
        <v>SU mm. uddannelsesstøtte</v>
      </c>
      <c r="B9" s="3">
        <f ca="1">'20K UBI med afledte effekter'!B15</f>
        <v>28000000000</v>
      </c>
      <c r="C9" s="3">
        <f ca="1">'20K UBI med afledte effekter'!B16</f>
        <v>-13720000000</v>
      </c>
      <c r="D9" s="3">
        <f>C9+B9</f>
        <v>14280000000</v>
      </c>
    </row>
    <row r="10" spans="1:4">
      <c r="A10" t="str">
        <f ca="1">'20K UBI med afledte effekter'!A17</f>
        <v>Børne- og ungeydelser</v>
      </c>
      <c r="B10" s="3">
        <f ca="1">'20K UBI med afledte effekter'!B17</f>
        <v>14000000000</v>
      </c>
      <c r="C10" s="3">
        <f ca="1">'20K UBI med afledte effekter'!B18</f>
        <v>-6860000000</v>
      </c>
      <c r="D10" s="3">
        <f>C10+B10</f>
        <v>7140000000</v>
      </c>
    </row>
    <row r="11" spans="1:4">
      <c r="A11" t="str">
        <f ca="1">'20K UBI med afledte effekter'!A11</f>
        <v>Beskæftigelsesministeriet, stort set alt</v>
      </c>
      <c r="B11" s="3">
        <f ca="1">'20K UBI med afledte effekter'!B11</f>
        <v>81000000000</v>
      </c>
      <c r="C11" s="3">
        <f ca="1">'20K UBI med afledte effekter'!B12</f>
        <v>-39690000000</v>
      </c>
      <c r="D11" s="3">
        <f>C11+B11</f>
        <v>41310000000</v>
      </c>
    </row>
    <row r="12" spans="1:4" ht="15.75" thickBot="1">
      <c r="A12" s="15" t="s">
        <v>119</v>
      </c>
      <c r="B12" s="33">
        <f ca="1">SUM(B7:B11)</f>
        <v>310000000000</v>
      </c>
      <c r="C12" s="33">
        <f ca="1">SUM(C7:C11)</f>
        <v>-151900000000</v>
      </c>
      <c r="D12" s="34">
        <f>SUM(D7:D11)</f>
        <v>158100000000</v>
      </c>
    </row>
    <row r="13" spans="1:4" ht="15.75" thickTop="1">
      <c r="A13" t="str">
        <f ca="1">'20K UBI med afledte effekter'!A27</f>
        <v>730.000 ekstra der alligevel skal på overførselsindkomst indenfor 15 år</v>
      </c>
      <c r="B13" s="3">
        <f ca="1">'20K UBI med afledte effekter'!B27</f>
        <v>113880000000</v>
      </c>
      <c r="D13" s="3">
        <f>B13</f>
        <v>113880000000</v>
      </c>
    </row>
    <row r="14" spans="1:4" ht="15.75" thickBot="1">
      <c r="A14" s="15" t="s">
        <v>118</v>
      </c>
      <c r="B14" s="33">
        <f>B13+B12</f>
        <v>423880000000</v>
      </c>
      <c r="C14" s="33"/>
      <c r="D14" s="34">
        <f>D13+D12</f>
        <v>271980000000</v>
      </c>
    </row>
    <row r="15" spans="1:4" ht="15.75" thickTop="1">
      <c r="B15" s="35"/>
      <c r="C15" s="35"/>
      <c r="D15" s="35"/>
    </row>
    <row r="16" spans="1:4">
      <c r="A16" s="1" t="s">
        <v>120</v>
      </c>
    </row>
    <row r="17" spans="1:4">
      <c r="A17" s="3" t="str">
        <f ca="1">'20K UBI med afledte effekter'!A24</f>
        <v>Besparelse på hospitaler og psykiatri (8,5%) af 103 mia. kr. i 2013</v>
      </c>
      <c r="B17" s="3">
        <f ca="1">'20K UBI med afledte effekter'!B24</f>
        <v>8755000000</v>
      </c>
      <c r="C17" s="3">
        <f ca="1">'20K UBI med afledte effekter'!B25</f>
        <v>-1869476910.0000002</v>
      </c>
      <c r="D17" s="3">
        <f>C17+B17</f>
        <v>6885523090</v>
      </c>
    </row>
    <row r="18" spans="1:4">
      <c r="A18" t="str">
        <f ca="1">'20K UBI med afledte effekter'!A23</f>
        <v>Nedgang i beskattet arbejde (13% - dette er formentligt lavere, se kilde 3) af 570 mia. kr. i 2013</v>
      </c>
      <c r="B18" s="3">
        <f ca="1">'20K UBI med afledte effekter'!B23</f>
        <v>-74100000000</v>
      </c>
      <c r="D18" s="3">
        <f>B18</f>
        <v>-74100000000</v>
      </c>
    </row>
    <row r="19" spans="1:4">
      <c r="A19" s="3" t="str">
        <f ca="1">'20K UBI med afledte effekter'!A26</f>
        <v>BEMÆRK: Antaget dobling af frivilligt arbejde; 9,6% BNP = 134.500.000.000 kr. - se arket Antagelser</v>
      </c>
      <c r="B19" s="3">
        <f ca="1">'20K UBI med afledte effekter'!B26</f>
        <v>134500000000</v>
      </c>
      <c r="C19" s="3"/>
      <c r="D19" s="3">
        <f>B19</f>
        <v>134500000000</v>
      </c>
    </row>
    <row r="20" spans="1:4" ht="15.75" thickBot="1">
      <c r="A20" s="16" t="s">
        <v>118</v>
      </c>
      <c r="B20" s="33">
        <f>SUM(B17:B19)</f>
        <v>69155000000</v>
      </c>
      <c r="C20" s="33">
        <f>SUM(C17:C19)</f>
        <v>-1869476910.0000002</v>
      </c>
      <c r="D20" s="34">
        <f>SUM(D17:D19)</f>
        <v>67285523090</v>
      </c>
    </row>
    <row r="21" spans="1:4" ht="15.75" thickTop="1">
      <c r="A21" s="3"/>
      <c r="B21" s="3"/>
      <c r="C21" s="3"/>
      <c r="D21" s="3"/>
    </row>
    <row r="22" spans="1:4">
      <c r="A22" s="36" t="s">
        <v>121</v>
      </c>
      <c r="B22" s="3"/>
      <c r="C22" s="3"/>
      <c r="D22" s="3"/>
    </row>
    <row r="23" spans="1:4">
      <c r="A23" s="3" t="str">
        <f ca="1">'20K UBI med afledte effekter'!A19</f>
        <v>Besparelser på offentlige lønninger**</v>
      </c>
      <c r="B23" s="3">
        <f ca="1">'20K UBI med afledte effekter'!B19</f>
        <v>259200000000</v>
      </c>
      <c r="C23" s="3">
        <f ca="1">'20K UBI med afledte effekter'!B20</f>
        <v>-127008000000</v>
      </c>
      <c r="D23" s="3">
        <f>C23+B23</f>
        <v>132192000000</v>
      </c>
    </row>
    <row r="24" spans="1:4">
      <c r="A24" s="3" t="str">
        <f ca="1">'20K UBI med afledte effekter'!A21</f>
        <v>Besparelser på private lønbetonede leverancer til det offentlige***</v>
      </c>
      <c r="B24" s="3">
        <f ca="1">'20K UBI med afledte effekter'!B21</f>
        <v>130377600000</v>
      </c>
      <c r="C24" s="3">
        <f ca="1">'20K UBI med afledte effekter'!B22</f>
        <v>-63885024000</v>
      </c>
      <c r="D24" s="3">
        <f>C24+B24</f>
        <v>66492576000</v>
      </c>
    </row>
    <row r="25" spans="1:4">
      <c r="A25" s="3" t="str">
        <f ca="1">'20K UBI med afledte effekter'!A28</f>
        <v>Værdi af konkurrencefordel ved sænkede lønninger og dermed øget eksport ****</v>
      </c>
      <c r="B25" s="3">
        <f ca="1">'20K UBI med afledte effekter'!B28</f>
        <v>114600000000</v>
      </c>
      <c r="C25" s="3"/>
      <c r="D25" s="3">
        <f>B25</f>
        <v>114600000000</v>
      </c>
    </row>
    <row r="26" spans="1:4" ht="15.75" thickBot="1">
      <c r="A26" s="16" t="s">
        <v>118</v>
      </c>
      <c r="B26" s="33">
        <f>SUM(B22:B25)</f>
        <v>504177600000</v>
      </c>
      <c r="C26" s="33">
        <f>SUM(C22:C25)</f>
        <v>-190893024000</v>
      </c>
      <c r="D26" s="34">
        <f>SUM(D22:D25)</f>
        <v>313284576000</v>
      </c>
    </row>
    <row r="27" spans="1:4" ht="15.75" thickTop="1">
      <c r="A27" s="3"/>
      <c r="B27" s="3"/>
      <c r="C27" s="3"/>
      <c r="D27" s="3"/>
    </row>
    <row r="28" spans="1:4">
      <c r="A28" s="36" t="s">
        <v>122</v>
      </c>
      <c r="B28" s="3"/>
      <c r="C28" s="3"/>
      <c r="D28" s="3"/>
    </row>
    <row r="29" spans="1:4">
      <c r="A29" t="str">
        <f ca="1">'20K UBI med afledte effekter'!A29</f>
        <v>Overskud af investering af danske virksomheder, efter selskabsskat *****</v>
      </c>
      <c r="B29" s="3">
        <f ca="1">'20K UBI med afledte effekter'!B29</f>
        <v>79500000000</v>
      </c>
      <c r="D29" s="3">
        <f>B29</f>
        <v>79500000000</v>
      </c>
    </row>
    <row r="30" spans="1:4">
      <c r="A30" t="str">
        <f ca="1">'20K UBI med afledte effekter'!A30</f>
        <v>Ekstra overskud i det private erhvervsliv ved lønnedgang, og det offentliges investeringsandel deraf ******</v>
      </c>
      <c r="B30" s="3">
        <f ca="1">'20K UBI med afledte effekter'!B30</f>
        <v>136677314400</v>
      </c>
      <c r="D30" s="3">
        <f>B30</f>
        <v>136677314400</v>
      </c>
    </row>
    <row r="31" spans="1:4" ht="15.75" thickBot="1">
      <c r="A31" s="16" t="s">
        <v>118</v>
      </c>
      <c r="B31" s="33">
        <f>SUM(B28:B30)</f>
        <v>216177314400</v>
      </c>
      <c r="C31" s="33">
        <f>SUM(C28:C30)</f>
        <v>0</v>
      </c>
      <c r="D31" s="34">
        <f>SUM(D28:D30)</f>
        <v>216177314400</v>
      </c>
    </row>
    <row r="32" spans="1:4" ht="15.75" thickTop="1"/>
    <row r="33" spans="1:4" ht="15.75" thickBot="1">
      <c r="A33" s="4" t="s">
        <v>123</v>
      </c>
      <c r="B33" s="4"/>
      <c r="C33" s="4"/>
      <c r="D33" s="5">
        <f>D31+D26+D20+D14</f>
        <v>868727413490</v>
      </c>
    </row>
    <row r="34" spans="1:4" ht="15.75" thickTop="1"/>
    <row r="35" spans="1:4">
      <c r="A35" s="1" t="s">
        <v>127</v>
      </c>
    </row>
    <row r="36" spans="1:4">
      <c r="A36" s="2" t="s">
        <v>132</v>
      </c>
      <c r="B36" s="37">
        <f ca="1">'20K UBI med afledte effekter'!D34</f>
        <v>0.3</v>
      </c>
    </row>
    <row r="37" spans="1:4">
      <c r="A37" s="2" t="s">
        <v>133</v>
      </c>
      <c r="B37" s="37">
        <f ca="1">'20K UBI med afledte effekter'!D36</f>
        <v>0.19</v>
      </c>
    </row>
    <row r="38" spans="1:4">
      <c r="A38" t="s">
        <v>128</v>
      </c>
      <c r="B38" s="3">
        <f>D33*(1/(1-(B36+B37)))</f>
        <v>1703387085274.5098</v>
      </c>
    </row>
    <row r="40" spans="1:4">
      <c r="A40" s="1" t="s">
        <v>124</v>
      </c>
    </row>
    <row r="41" spans="1:4">
      <c r="A41" t="str">
        <f ca="1">'20K UBI med afledte effekter'!A3</f>
        <v>Borgere, 2015K1 (heraf kan ca. 664.000 ikke-statsborgere dog antages at få en meget begrænset brøk-UBI og ingen sociale ydelser)</v>
      </c>
      <c r="B41" s="3">
        <f ca="1">'20K UBI med afledte effekter'!B3</f>
        <v>5659715</v>
      </c>
      <c r="C41" t="str">
        <f ca="1">'20K UBI med afledte effekter'!C3</f>
        <v>borgere</v>
      </c>
    </row>
    <row r="42" spans="1:4" ht="15.75" thickBot="1">
      <c r="A42" s="3" t="str">
        <f ca="1">'20K UBI med afledte effekter'!A4</f>
        <v>UBI per borger, før skat (modellen er kun fuldt dynamisk ned til ca. 18000 kr. og op til 25.000 kr.)</v>
      </c>
      <c r="B42" s="5">
        <f ca="1">B38/B41/12</f>
        <v>25080.578045515689</v>
      </c>
      <c r="C42" t="s">
        <v>135</v>
      </c>
    </row>
    <row r="43" spans="1:4" ht="15.75" thickTop="1">
      <c r="A43" t="s">
        <v>130</v>
      </c>
      <c r="B43" s="3">
        <f>B42*(1-(B36+B37))</f>
        <v>12791.094803213002</v>
      </c>
      <c r="C43" t="s">
        <v>134</v>
      </c>
    </row>
    <row r="44" spans="1:4">
      <c r="B44" s="3"/>
    </row>
    <row r="45" spans="1:4">
      <c r="A45" s="1" t="s">
        <v>144</v>
      </c>
    </row>
    <row r="46" spans="1:4">
      <c r="A46" s="2" t="s">
        <v>145</v>
      </c>
      <c r="B46" s="3">
        <v>20000</v>
      </c>
      <c r="C46" t="s">
        <v>135</v>
      </c>
      <c r="D46" s="3"/>
    </row>
    <row r="47" spans="1:4">
      <c r="A47" s="2" t="s">
        <v>146</v>
      </c>
      <c r="B47" s="3">
        <f>B46*B41*12</f>
        <v>1358331600000</v>
      </c>
      <c r="C47" t="s">
        <v>125</v>
      </c>
    </row>
    <row r="48" spans="1:4">
      <c r="A48" s="2" t="s">
        <v>147</v>
      </c>
      <c r="B48" s="3">
        <f>B38-B47</f>
        <v>345055485274.50977</v>
      </c>
      <c r="C48" t="s">
        <v>125</v>
      </c>
    </row>
    <row r="49" spans="1:4">
      <c r="B49" s="3"/>
    </row>
    <row r="50" spans="1:4">
      <c r="A50" s="1" t="s">
        <v>143</v>
      </c>
    </row>
    <row r="51" spans="1:4">
      <c r="A51" t="s">
        <v>136</v>
      </c>
      <c r="B51" s="3">
        <v>4995708</v>
      </c>
      <c r="C51" s="38">
        <f>B42*B51*12</f>
        <v>1503542932639.2852</v>
      </c>
    </row>
    <row r="52" spans="1:4">
      <c r="A52" t="s">
        <v>137</v>
      </c>
      <c r="B52" s="3">
        <f>B41-B51</f>
        <v>664007</v>
      </c>
      <c r="C52" s="38">
        <f>B42*B52*12</f>
        <v>199844152635.22482</v>
      </c>
    </row>
    <row r="53" spans="1:4">
      <c r="A53" t="s">
        <v>148</v>
      </c>
      <c r="B53" s="3">
        <v>914409</v>
      </c>
      <c r="C53" s="38">
        <f>B53*B42*12</f>
        <v>275206875480.26349</v>
      </c>
    </row>
    <row r="54" spans="1:4">
      <c r="B54" s="3"/>
      <c r="C54" s="38"/>
    </row>
    <row r="55" spans="1:4">
      <c r="A55" s="1" t="s">
        <v>126</v>
      </c>
      <c r="C55" s="38"/>
    </row>
    <row r="56" spans="1:4">
      <c r="A56" s="39" t="s">
        <v>141</v>
      </c>
      <c r="B56" s="40" t="s">
        <v>139</v>
      </c>
      <c r="C56" s="39" t="s">
        <v>138</v>
      </c>
      <c r="D56" s="39" t="s">
        <v>140</v>
      </c>
    </row>
    <row r="57" spans="1:4">
      <c r="A57" t="s">
        <v>142</v>
      </c>
      <c r="B57" s="38">
        <v>20000</v>
      </c>
    </row>
    <row r="58" spans="1:4">
      <c r="A58" s="8">
        <v>39</v>
      </c>
      <c r="B58" s="38">
        <f>$B$57*(A58/40)</f>
        <v>19500</v>
      </c>
    </row>
    <row r="59" spans="1:4">
      <c r="A59" s="8">
        <v>38</v>
      </c>
      <c r="B59" s="38">
        <f t="shared" ref="B59:B97" si="0">$B$57*(A59/40)</f>
        <v>19000</v>
      </c>
    </row>
    <row r="60" spans="1:4">
      <c r="A60" s="8">
        <v>37</v>
      </c>
      <c r="B60" s="38">
        <f t="shared" si="0"/>
        <v>18500</v>
      </c>
    </row>
    <row r="61" spans="1:4">
      <c r="A61" s="8">
        <v>36</v>
      </c>
      <c r="B61" s="38">
        <f t="shared" si="0"/>
        <v>18000</v>
      </c>
    </row>
    <row r="62" spans="1:4">
      <c r="A62" s="8">
        <v>35</v>
      </c>
      <c r="B62" s="38">
        <f t="shared" si="0"/>
        <v>17500</v>
      </c>
    </row>
    <row r="63" spans="1:4">
      <c r="A63" s="8">
        <v>34</v>
      </c>
      <c r="B63" s="38">
        <f t="shared" si="0"/>
        <v>17000</v>
      </c>
    </row>
    <row r="64" spans="1:4">
      <c r="A64" s="8">
        <v>33</v>
      </c>
      <c r="B64" s="38">
        <f t="shared" si="0"/>
        <v>16500</v>
      </c>
    </row>
    <row r="65" spans="1:2">
      <c r="A65" s="8">
        <v>32</v>
      </c>
      <c r="B65" s="38">
        <f t="shared" si="0"/>
        <v>16000</v>
      </c>
    </row>
    <row r="66" spans="1:2">
      <c r="A66" s="8">
        <v>31</v>
      </c>
      <c r="B66" s="38">
        <f t="shared" si="0"/>
        <v>15500</v>
      </c>
    </row>
    <row r="67" spans="1:2">
      <c r="A67" s="8">
        <v>30</v>
      </c>
      <c r="B67" s="38">
        <f t="shared" si="0"/>
        <v>15000</v>
      </c>
    </row>
    <row r="68" spans="1:2">
      <c r="A68" s="8">
        <v>29</v>
      </c>
      <c r="B68" s="38">
        <f t="shared" si="0"/>
        <v>14500</v>
      </c>
    </row>
    <row r="69" spans="1:2">
      <c r="A69" s="8">
        <v>28</v>
      </c>
      <c r="B69" s="38">
        <f t="shared" si="0"/>
        <v>14000</v>
      </c>
    </row>
    <row r="70" spans="1:2">
      <c r="A70" s="8">
        <v>27</v>
      </c>
      <c r="B70" s="38">
        <f t="shared" si="0"/>
        <v>13500</v>
      </c>
    </row>
    <row r="71" spans="1:2">
      <c r="A71" s="8">
        <v>26</v>
      </c>
      <c r="B71" s="38">
        <f t="shared" si="0"/>
        <v>13000</v>
      </c>
    </row>
    <row r="72" spans="1:2">
      <c r="A72" s="8">
        <v>25</v>
      </c>
      <c r="B72" s="38">
        <f t="shared" si="0"/>
        <v>12500</v>
      </c>
    </row>
    <row r="73" spans="1:2">
      <c r="A73" s="8">
        <v>24</v>
      </c>
      <c r="B73" s="38">
        <f t="shared" si="0"/>
        <v>12000</v>
      </c>
    </row>
    <row r="74" spans="1:2">
      <c r="A74" s="8">
        <v>23</v>
      </c>
      <c r="B74" s="38">
        <f t="shared" si="0"/>
        <v>11500</v>
      </c>
    </row>
    <row r="75" spans="1:2">
      <c r="A75" s="8">
        <v>22</v>
      </c>
      <c r="B75" s="38">
        <f t="shared" si="0"/>
        <v>11000</v>
      </c>
    </row>
    <row r="76" spans="1:2">
      <c r="A76" s="8">
        <v>21</v>
      </c>
      <c r="B76" s="38">
        <f t="shared" si="0"/>
        <v>10500</v>
      </c>
    </row>
    <row r="77" spans="1:2">
      <c r="A77" s="8">
        <v>20</v>
      </c>
      <c r="B77" s="38">
        <f t="shared" si="0"/>
        <v>10000</v>
      </c>
    </row>
    <row r="78" spans="1:2">
      <c r="A78" s="8">
        <v>19</v>
      </c>
      <c r="B78" s="38">
        <f t="shared" si="0"/>
        <v>9500</v>
      </c>
    </row>
    <row r="79" spans="1:2">
      <c r="A79" s="8">
        <v>18</v>
      </c>
      <c r="B79" s="38">
        <f t="shared" si="0"/>
        <v>9000</v>
      </c>
    </row>
    <row r="80" spans="1:2">
      <c r="A80" s="8">
        <v>17</v>
      </c>
      <c r="B80" s="38">
        <f t="shared" si="0"/>
        <v>8500</v>
      </c>
    </row>
    <row r="81" spans="1:4">
      <c r="A81" s="8">
        <v>16</v>
      </c>
      <c r="B81" s="38">
        <f t="shared" si="0"/>
        <v>8000</v>
      </c>
    </row>
    <row r="82" spans="1:4">
      <c r="A82" s="8">
        <v>15</v>
      </c>
      <c r="B82" s="38">
        <f t="shared" si="0"/>
        <v>7500</v>
      </c>
    </row>
    <row r="83" spans="1:4">
      <c r="A83" s="8">
        <v>14</v>
      </c>
      <c r="B83" s="38">
        <f t="shared" si="0"/>
        <v>7000</v>
      </c>
    </row>
    <row r="84" spans="1:4">
      <c r="A84" s="8">
        <v>13</v>
      </c>
      <c r="B84" s="38">
        <f t="shared" si="0"/>
        <v>6500</v>
      </c>
    </row>
    <row r="85" spans="1:4">
      <c r="A85" s="8">
        <v>12</v>
      </c>
      <c r="B85" s="38">
        <f t="shared" si="0"/>
        <v>6000</v>
      </c>
    </row>
    <row r="86" spans="1:4">
      <c r="A86" s="8">
        <v>11</v>
      </c>
      <c r="B86" s="38">
        <f t="shared" si="0"/>
        <v>5500</v>
      </c>
    </row>
    <row r="87" spans="1:4">
      <c r="A87" s="8">
        <v>10</v>
      </c>
      <c r="B87" s="38">
        <f t="shared" si="0"/>
        <v>5000</v>
      </c>
    </row>
    <row r="88" spans="1:4">
      <c r="A88" s="8">
        <v>9</v>
      </c>
      <c r="B88" s="38">
        <f t="shared" si="0"/>
        <v>4500</v>
      </c>
    </row>
    <row r="89" spans="1:4">
      <c r="A89" s="8">
        <v>8</v>
      </c>
      <c r="B89" s="38">
        <f t="shared" si="0"/>
        <v>4000</v>
      </c>
    </row>
    <row r="90" spans="1:4">
      <c r="A90" s="8">
        <v>7</v>
      </c>
      <c r="B90" s="38">
        <f t="shared" si="0"/>
        <v>3500</v>
      </c>
    </row>
    <row r="91" spans="1:4">
      <c r="A91" s="8">
        <v>6</v>
      </c>
      <c r="B91" s="38">
        <f t="shared" si="0"/>
        <v>3000</v>
      </c>
    </row>
    <row r="92" spans="1:4">
      <c r="A92" s="8">
        <v>5</v>
      </c>
      <c r="B92" s="38">
        <f t="shared" si="0"/>
        <v>2500</v>
      </c>
    </row>
    <row r="93" spans="1:4">
      <c r="A93" s="8">
        <v>4</v>
      </c>
      <c r="B93" s="38">
        <f t="shared" si="0"/>
        <v>2000</v>
      </c>
      <c r="C93" s="3"/>
      <c r="D93" s="3"/>
    </row>
    <row r="94" spans="1:4">
      <c r="A94" s="8">
        <v>3</v>
      </c>
      <c r="B94" s="38">
        <f t="shared" si="0"/>
        <v>1500</v>
      </c>
    </row>
    <row r="95" spans="1:4">
      <c r="A95" s="8">
        <v>2</v>
      </c>
      <c r="B95" s="38">
        <f t="shared" si="0"/>
        <v>1000</v>
      </c>
    </row>
    <row r="96" spans="1:4">
      <c r="A96" s="8">
        <v>1</v>
      </c>
      <c r="B96" s="38">
        <f t="shared" si="0"/>
        <v>500</v>
      </c>
      <c r="C96" s="38"/>
    </row>
    <row r="97" spans="1:6">
      <c r="A97" s="8">
        <v>0</v>
      </c>
      <c r="B97" s="38">
        <f t="shared" si="0"/>
        <v>0</v>
      </c>
    </row>
    <row r="100" spans="1:6">
      <c r="A100" s="1" t="s">
        <v>149</v>
      </c>
      <c r="B100" s="1" t="s">
        <v>150</v>
      </c>
      <c r="C100" s="1" t="s">
        <v>156</v>
      </c>
      <c r="D100" s="1" t="s">
        <v>157</v>
      </c>
      <c r="E100" s="1" t="s">
        <v>162</v>
      </c>
      <c r="F100" s="1" t="s">
        <v>161</v>
      </c>
    </row>
    <row r="101" spans="1:6">
      <c r="A101" t="s">
        <v>151</v>
      </c>
      <c r="B101" s="3">
        <v>6000</v>
      </c>
      <c r="C101" s="3">
        <v>379750</v>
      </c>
      <c r="D101" s="3">
        <f>C101*B101*12</f>
        <v>27342000000</v>
      </c>
      <c r="E101" s="3">
        <f t="shared" ref="E101:E106" si="1">($B$57-B101)*C101</f>
        <v>5316500000</v>
      </c>
      <c r="F101" s="3">
        <f>E101</f>
        <v>5316500000</v>
      </c>
    </row>
    <row r="102" spans="1:6">
      <c r="A102" t="s">
        <v>152</v>
      </c>
      <c r="B102" s="3">
        <v>3000</v>
      </c>
      <c r="C102" s="3">
        <v>354365</v>
      </c>
      <c r="D102" s="3">
        <f>C102*B102*12</f>
        <v>12757140000</v>
      </c>
      <c r="E102" s="3">
        <f t="shared" si="1"/>
        <v>6024205000</v>
      </c>
      <c r="F102" s="3">
        <f>E102+F101</f>
        <v>11340705000</v>
      </c>
    </row>
    <row r="103" spans="1:6">
      <c r="A103" t="s">
        <v>153</v>
      </c>
      <c r="B103" s="3">
        <v>15000</v>
      </c>
      <c r="C103" s="3">
        <v>303198</v>
      </c>
      <c r="D103" s="3">
        <f>C103*B103*12</f>
        <v>54575640000</v>
      </c>
      <c r="E103" s="3">
        <f t="shared" si="1"/>
        <v>1515990000</v>
      </c>
      <c r="F103" s="3">
        <f>E103+F102</f>
        <v>12856695000</v>
      </c>
    </row>
    <row r="104" spans="1:6">
      <c r="A104" t="s">
        <v>154</v>
      </c>
      <c r="B104" s="3">
        <v>20000</v>
      </c>
      <c r="C104" s="3">
        <v>2955554</v>
      </c>
      <c r="D104" s="3">
        <f>C104*B104*12</f>
        <v>709332960000</v>
      </c>
      <c r="E104" s="3">
        <f t="shared" si="1"/>
        <v>0</v>
      </c>
      <c r="F104" s="3">
        <f>E104+F103</f>
        <v>12856695000</v>
      </c>
    </row>
    <row r="105" spans="1:6">
      <c r="A105" t="s">
        <v>155</v>
      </c>
      <c r="B105" s="3">
        <v>15000</v>
      </c>
      <c r="C105" s="3">
        <v>1002841</v>
      </c>
      <c r="D105" s="3">
        <f>C105*B105*12</f>
        <v>180511380000</v>
      </c>
      <c r="E105" s="3">
        <f t="shared" si="1"/>
        <v>5014205000</v>
      </c>
      <c r="F105" s="3">
        <f>E105+F104</f>
        <v>17870900000</v>
      </c>
    </row>
    <row r="106" spans="1:6">
      <c r="C106" s="3">
        <f>SUM(C101:C105)</f>
        <v>4995708</v>
      </c>
      <c r="D106" s="3">
        <f>SUM(D101:D105)</f>
        <v>984519120000</v>
      </c>
      <c r="E106" s="3">
        <f t="shared" si="1"/>
        <v>99914160000</v>
      </c>
      <c r="F106" s="3">
        <f>E106+F105</f>
        <v>117785060000</v>
      </c>
    </row>
    <row r="107" spans="1:6" ht="15.75" thickBot="1">
      <c r="A107" s="15" t="s">
        <v>158</v>
      </c>
      <c r="B107" s="15"/>
      <c r="C107" s="15"/>
      <c r="D107" s="34">
        <f>B38-D106</f>
        <v>718867965274.50977</v>
      </c>
    </row>
    <row r="108" spans="1:6" ht="15.75" thickTop="1"/>
    <row r="109" spans="1:6">
      <c r="A109" t="s">
        <v>159</v>
      </c>
      <c r="B109">
        <v>300000</v>
      </c>
      <c r="C109" s="3"/>
    </row>
    <row r="110" spans="1:6">
      <c r="A110" t="s">
        <v>160</v>
      </c>
      <c r="B110">
        <v>300000</v>
      </c>
    </row>
  </sheetData>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Antagelser</vt:lpstr>
      <vt:lpstr>20K UBI med afledte effekter</vt:lpstr>
      <vt:lpstr>Eksportstigning</vt:lpstr>
      <vt:lpstr>Overbliksudregning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2015-09-12T08:18:19Z</dcterms:modified>
</cp:coreProperties>
</file>